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pivotTables/pivotTable1.xml" ContentType="application/vnd.openxmlformats-officedocument.spreadsheetml.pivotTable+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hidePivotFieldList="1" defaultThemeVersion="124226"/>
  <mc:AlternateContent xmlns:mc="http://schemas.openxmlformats.org/markup-compatibility/2006">
    <mc:Choice Requires="x15">
      <x15ac:absPath xmlns:x15ac="http://schemas.microsoft.com/office/spreadsheetml/2010/11/ac" url="https://isvimedgovco.sharepoint.com/sites/7Planeacion-Pla_Inte_Gestion/Documentos compartidos/Pla_Inte_Gestion/PLANEACIÓN INTEGRADA DE GESTIÓN/03. SCI/2026/SEGUIMIENTO MATRICES DE RIESGO 2026/2DO TRIM/APROBADOS/"/>
    </mc:Choice>
  </mc:AlternateContent>
  <xr:revisionPtr revIDLastSave="0" documentId="13_ncr:1_{E3192F15-55AD-41EA-A3ED-EA81BAB77D45}" xr6:coauthVersionLast="47" xr6:coauthVersionMax="47" xr10:uidLastSave="{00000000-0000-0000-0000-000000000000}"/>
  <bookViews>
    <workbookView xWindow="-108" yWindow="-108" windowWidth="23256" windowHeight="12456" tabRatio="574" firstSheet="2" activeTab="2" xr2:uid="{00000000-000D-0000-FFFF-FFFF00000000}"/>
  </bookViews>
  <sheets>
    <sheet name="4. PEFIL RIESGO DEL PROCESO" sheetId="28" r:id="rId1"/>
    <sheet name="1. ESTABLECIMIENTO CONTEXTO " sheetId="23" r:id="rId2"/>
    <sheet name="2. MATRIZ DE RIESGOS" sheetId="21" r:id="rId3"/>
    <sheet name="MAPA CALOR INHERENTE" sheetId="25" state="hidden" r:id="rId4"/>
    <sheet name="MAPA CALOR RESIDUAL" sheetId="26" state="hidden" r:id="rId5"/>
    <sheet name="3.MAPA CALOR INHEREN Y RESIDUAL" sheetId="27" r:id="rId6"/>
    <sheet name="Tabla probabilidad" sheetId="12" r:id="rId7"/>
    <sheet name="Tabla Impacto" sheetId="22" r:id="rId8"/>
    <sheet name="Tabla Valoración controles" sheetId="15" r:id="rId9"/>
    <sheet name="Hoja1" sheetId="11" state="hidden" r:id="rId10"/>
    <sheet name="Opciones Tratamiento" sheetId="16" r:id="rId11"/>
  </sheets>
  <definedNames>
    <definedName name="_xlnm._FilterDatabase" localSheetId="5" hidden="1">'3.MAPA CALOR INHEREN Y RESIDUAL'!$A$7:$AL$7</definedName>
    <definedName name="_xlnm._FilterDatabase" localSheetId="3" hidden="1">'MAPA CALOR INHERENTE'!$A$6:$AJ$6</definedName>
    <definedName name="_xlnm._FilterDatabase" localSheetId="4" hidden="1">'MAPA CALOR RESIDUAL'!$A$6:$AL$6</definedName>
    <definedName name="Afectación_Económica" localSheetId="0">#REF!</definedName>
    <definedName name="Afectación_Económica">#REF!</definedName>
    <definedName name="Definicion_tratamiento" localSheetId="0">#REF!</definedName>
    <definedName name="Definicion_tratamiento">#REF!</definedName>
    <definedName name="Ejecución_administración_de_procesos">#REF!</definedName>
    <definedName name="Fiscal_A" localSheetId="0">#REF!</definedName>
    <definedName name="Fiscal_A">#REF!</definedName>
    <definedName name="Fiscal_B" localSheetId="0">#REF!</definedName>
    <definedName name="Fiscal_B">#REF!</definedName>
    <definedName name="Gestiòn" localSheetId="0">#REF!</definedName>
    <definedName name="Gestiòn">#REF!</definedName>
    <definedName name="Gestión_A" localSheetId="0">#REF!</definedName>
    <definedName name="Gestión_A">#REF!</definedName>
    <definedName name="Gestión_B" localSheetId="0">#REF!</definedName>
    <definedName name="Gestión_B">#REF!</definedName>
    <definedName name="IMPACTO_PROCESOS" localSheetId="5">#REF!</definedName>
    <definedName name="IMPACTO_PROCESOS" localSheetId="0">#REF!</definedName>
    <definedName name="IMPACTO_PROCESOS" localSheetId="3">#REF!</definedName>
    <definedName name="IMPACTO_PROCESOS" localSheetId="4">#REF!</definedName>
    <definedName name="IntegridadPública_Corrupción" localSheetId="0">#REF!</definedName>
    <definedName name="IntegridadPública_Corrupción">#REF!</definedName>
    <definedName name="IntegridadPública_LA_FT_FP" localSheetId="0">#REF!</definedName>
    <definedName name="IntegridadPública_LA_FT_FP">#REF!</definedName>
    <definedName name="opciones" localSheetId="5">#REF!</definedName>
    <definedName name="opciones" localSheetId="0">#REF!</definedName>
    <definedName name="opciones" localSheetId="3">#REF!</definedName>
    <definedName name="opciones" localSheetId="4">#REF!</definedName>
    <definedName name="opciones2" localSheetId="5">#REF!</definedName>
    <definedName name="opciones2" localSheetId="0">#REF!</definedName>
    <definedName name="opciones2" localSheetId="3">#REF!</definedName>
    <definedName name="opciones2" localSheetId="4">#REF!</definedName>
    <definedName name="Plan_accion" localSheetId="0">#REF!</definedName>
    <definedName name="Plan_accion">#REF!</definedName>
    <definedName name="Plan_acción" localSheetId="0">#REF!</definedName>
    <definedName name="Plan_acción">#REF!</definedName>
    <definedName name="Plan_de_acción" localSheetId="0">#REF!</definedName>
    <definedName name="Plan_de_acción">#REF!</definedName>
    <definedName name="Posibilidad__de_efecto_dañoso_sobre_el_interes_patrimonial" localSheetId="0">#REF!</definedName>
    <definedName name="Posibilidad__de_efecto_dañoso_sobre_el_interes_patrimonial">#REF!</definedName>
    <definedName name="Posibilidad_de_pérdida_Económica" localSheetId="0">#REF!</definedName>
    <definedName name="Posibilidad_de_pérdida_Económica">#REF!</definedName>
    <definedName name="Proceso">#REF!</definedName>
    <definedName name="Quince_Cero" localSheetId="5">#REF!</definedName>
    <definedName name="Quince_Cero" localSheetId="0">#REF!</definedName>
    <definedName name="Quince_Cero" localSheetId="3">#REF!</definedName>
    <definedName name="Quince_Cero" localSheetId="4">#REF!</definedName>
    <definedName name="Rango_Calificacion_Ejecucion" localSheetId="5">#REF!</definedName>
    <definedName name="Rango_Calificacion_Ejecucion" localSheetId="0">#REF!</definedName>
    <definedName name="Rango_Calificacion_Ejecucion" localSheetId="3">#REF!</definedName>
    <definedName name="Rango_Calificacion_Ejecucion" localSheetId="4">#REF!</definedName>
    <definedName name="Reducir_mitigar_Transferir_Evitar" localSheetId="0">#REF!</definedName>
    <definedName name="Reducir_mitigar_Transferir_Evitar">#REF!</definedName>
    <definedName name="Reputacional" localSheetId="0">#REF!</definedName>
    <definedName name="Reputacional">#REF!</definedName>
    <definedName name="Requiere_Plan_de_Acción" localSheetId="0">#REF!</definedName>
    <definedName name="Requiere_Plan_de_Acción">#REF!</definedName>
    <definedName name="Seg.Información" localSheetId="0">#REF!</definedName>
    <definedName name="Seg.Información">#REF!</definedName>
    <definedName name="TIPO" localSheetId="5">#REF!</definedName>
    <definedName name="TIPO" localSheetId="0">#REF!</definedName>
    <definedName name="TIPO" localSheetId="3">#REF!</definedName>
    <definedName name="TIPO" localSheetId="4">#REF!</definedName>
  </definedNames>
  <calcPr calcId="191028"/>
  <pivotCaches>
    <pivotCache cacheId="0" r:id="rId12"/>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6" l="1"/>
  <c r="C20" i="26"/>
  <c r="B20" i="26"/>
  <c r="A20" i="26"/>
  <c r="F21" i="26"/>
  <c r="E21" i="26"/>
  <c r="G21" i="26" s="1"/>
  <c r="D19" i="26"/>
  <c r="C19" i="26"/>
  <c r="B19" i="26"/>
  <c r="A19" i="26"/>
  <c r="D18" i="26"/>
  <c r="C18" i="26"/>
  <c r="B18" i="26"/>
  <c r="A18" i="26"/>
  <c r="D17" i="26"/>
  <c r="C17" i="26"/>
  <c r="B17" i="26"/>
  <c r="A17" i="26"/>
  <c r="D15" i="26"/>
  <c r="C15" i="26"/>
  <c r="B15" i="26"/>
  <c r="A15" i="26"/>
  <c r="C14" i="26"/>
  <c r="B14" i="26"/>
  <c r="A14" i="26"/>
  <c r="D13" i="26"/>
  <c r="C13" i="26"/>
  <c r="B13" i="26"/>
  <c r="A13" i="26"/>
  <c r="D12" i="26"/>
  <c r="C12" i="26"/>
  <c r="B12" i="26"/>
  <c r="A12" i="26"/>
  <c r="D11" i="26"/>
  <c r="C11" i="26"/>
  <c r="B11" i="26"/>
  <c r="A11" i="26"/>
  <c r="F20" i="26" l="1"/>
  <c r="E20" i="26"/>
  <c r="G20" i="26" s="1"/>
  <c r="F19" i="26"/>
  <c r="E19" i="26"/>
  <c r="F18" i="26"/>
  <c r="E18" i="26"/>
  <c r="G18" i="26" s="1"/>
  <c r="E17" i="26"/>
  <c r="F17" i="26"/>
  <c r="D16" i="26"/>
  <c r="F16" i="26" s="1"/>
  <c r="C16" i="26"/>
  <c r="E16" i="26" s="1"/>
  <c r="B16" i="26"/>
  <c r="A16" i="26"/>
  <c r="F15" i="26"/>
  <c r="E15" i="26"/>
  <c r="E14" i="26"/>
  <c r="F13" i="26"/>
  <c r="E13" i="26"/>
  <c r="G13" i="26" s="1"/>
  <c r="F12" i="26"/>
  <c r="E12" i="26"/>
  <c r="F11" i="26"/>
  <c r="E11" i="26"/>
  <c r="D10" i="26"/>
  <c r="C10" i="26"/>
  <c r="B10" i="26"/>
  <c r="A10" i="26"/>
  <c r="D9" i="26"/>
  <c r="C9" i="26"/>
  <c r="B9" i="26"/>
  <c r="A9" i="26"/>
  <c r="D8" i="26"/>
  <c r="C8" i="26"/>
  <c r="B8" i="26"/>
  <c r="A8" i="26"/>
  <c r="D21" i="25"/>
  <c r="C21" i="25"/>
  <c r="B21" i="25"/>
  <c r="A21" i="25"/>
  <c r="D20" i="25"/>
  <c r="C20" i="25"/>
  <c r="B20" i="25"/>
  <c r="A20" i="25"/>
  <c r="D18" i="25"/>
  <c r="C18" i="25"/>
  <c r="E18" i="25" s="1"/>
  <c r="B18" i="25"/>
  <c r="A18" i="25"/>
  <c r="D17" i="25"/>
  <c r="C17" i="25"/>
  <c r="B17" i="25"/>
  <c r="A17" i="25"/>
  <c r="D15" i="25"/>
  <c r="C15" i="25"/>
  <c r="B15" i="25"/>
  <c r="A15" i="25"/>
  <c r="D14" i="25"/>
  <c r="C14" i="25"/>
  <c r="B14" i="25"/>
  <c r="A14" i="25"/>
  <c r="D13" i="25"/>
  <c r="C13" i="25"/>
  <c r="B13" i="25"/>
  <c r="A13" i="25"/>
  <c r="D12" i="25"/>
  <c r="C12" i="25"/>
  <c r="B12" i="25"/>
  <c r="A12" i="25"/>
  <c r="D11" i="25"/>
  <c r="C11" i="25"/>
  <c r="B11" i="25"/>
  <c r="A11" i="25"/>
  <c r="E21" i="25"/>
  <c r="E20" i="25"/>
  <c r="E19" i="25"/>
  <c r="D19" i="25"/>
  <c r="C19" i="25"/>
  <c r="B19" i="25"/>
  <c r="A19" i="25"/>
  <c r="E17" i="25"/>
  <c r="D16" i="25"/>
  <c r="C16" i="25"/>
  <c r="E16" i="25" s="1"/>
  <c r="B16" i="25"/>
  <c r="A16" i="25"/>
  <c r="E15" i="25"/>
  <c r="E14" i="25"/>
  <c r="E13" i="25"/>
  <c r="E12" i="25"/>
  <c r="E11" i="25"/>
  <c r="D10" i="25"/>
  <c r="C10" i="25"/>
  <c r="E10" i="25" s="1"/>
  <c r="B10" i="25"/>
  <c r="A10" i="25"/>
  <c r="D9" i="25"/>
  <c r="C9" i="25"/>
  <c r="B9" i="25"/>
  <c r="A9" i="25"/>
  <c r="D8" i="25"/>
  <c r="C8" i="25"/>
  <c r="B8" i="25"/>
  <c r="A8" i="25"/>
  <c r="B4" i="28"/>
  <c r="B3" i="27"/>
  <c r="E10" i="26"/>
  <c r="E9" i="26"/>
  <c r="F8" i="26"/>
  <c r="E8" i="26"/>
  <c r="D7" i="26"/>
  <c r="F7" i="26" s="1"/>
  <c r="C7" i="26"/>
  <c r="E7" i="26" s="1"/>
  <c r="B7" i="26"/>
  <c r="A7" i="26"/>
  <c r="B3" i="26"/>
  <c r="D7" i="25"/>
  <c r="C7" i="25"/>
  <c r="B7" i="25"/>
  <c r="A7" i="25"/>
  <c r="B3" i="25"/>
  <c r="G26" i="26"/>
  <c r="F26" i="26"/>
  <c r="E26" i="26"/>
  <c r="F25" i="26"/>
  <c r="E25" i="26"/>
  <c r="G25" i="26" s="1"/>
  <c r="F24" i="26"/>
  <c r="E24" i="26"/>
  <c r="G24" i="26" s="1"/>
  <c r="F23" i="26"/>
  <c r="E23" i="26"/>
  <c r="G23" i="26" s="1"/>
  <c r="G22" i="26"/>
  <c r="F22" i="26"/>
  <c r="E22" i="26"/>
  <c r="F10" i="26"/>
  <c r="F9" i="26"/>
  <c r="E26" i="25"/>
  <c r="E25" i="25"/>
  <c r="E24" i="25"/>
  <c r="E23" i="25"/>
  <c r="E22" i="25"/>
  <c r="T35" i="21"/>
  <c r="Q35" i="21"/>
  <c r="M11" i="25" l="1"/>
  <c r="G12" i="27" s="1"/>
  <c r="G19" i="26"/>
  <c r="G17" i="26"/>
  <c r="G15" i="26"/>
  <c r="G12" i="26"/>
  <c r="G11" i="26"/>
  <c r="G16" i="26"/>
  <c r="G10" i="26"/>
  <c r="G9" i="26"/>
  <c r="G8" i="26"/>
  <c r="I7" i="25"/>
  <c r="C8" i="27" s="1"/>
  <c r="M7" i="25"/>
  <c r="G8" i="27" s="1"/>
  <c r="M9" i="25"/>
  <c r="G10" i="27" s="1"/>
  <c r="I11" i="25"/>
  <c r="C12" i="27" s="1"/>
  <c r="I10" i="25"/>
  <c r="K8" i="25"/>
  <c r="E9" i="27" s="1"/>
  <c r="G7" i="26"/>
  <c r="E9" i="25"/>
  <c r="J10" i="25"/>
  <c r="D11" i="27" s="1"/>
  <c r="K10" i="25"/>
  <c r="E11" i="27" s="1"/>
  <c r="I8" i="25"/>
  <c r="C9" i="27" s="1"/>
  <c r="K9" i="25"/>
  <c r="E10" i="27" s="1"/>
  <c r="M10" i="25"/>
  <c r="G11" i="27" s="1"/>
  <c r="I9" i="25"/>
  <c r="C10" i="27" s="1"/>
  <c r="E8" i="25"/>
  <c r="J9" i="25"/>
  <c r="D10" i="27" s="1"/>
  <c r="L10" i="25"/>
  <c r="F11" i="27" s="1"/>
  <c r="E7" i="25"/>
  <c r="J8" i="25"/>
  <c r="D9" i="27" s="1"/>
  <c r="L9" i="25"/>
  <c r="F10" i="27" s="1"/>
  <c r="J7" i="25"/>
  <c r="D8" i="27" s="1"/>
  <c r="L8" i="25"/>
  <c r="F9" i="27" s="1"/>
  <c r="J11" i="25"/>
  <c r="D12" i="27" s="1"/>
  <c r="K7" i="25"/>
  <c r="E8" i="27" s="1"/>
  <c r="M8" i="25"/>
  <c r="G9" i="27" s="1"/>
  <c r="K11" i="25"/>
  <c r="E12" i="27" s="1"/>
  <c r="L7" i="25"/>
  <c r="F8" i="27" s="1"/>
  <c r="L11" i="25"/>
  <c r="F12" i="27" s="1"/>
  <c r="T33" i="21"/>
  <c r="Q33" i="21"/>
  <c r="T61" i="21"/>
  <c r="Q61" i="21"/>
  <c r="T60" i="21"/>
  <c r="Q60" i="21"/>
  <c r="T62" i="21"/>
  <c r="Q62" i="21"/>
  <c r="N60" i="21"/>
  <c r="M60" i="21"/>
  <c r="AC60" i="21" s="1"/>
  <c r="K60" i="21"/>
  <c r="Y60" i="21" s="1"/>
  <c r="AA60" i="21" s="1"/>
  <c r="B16" i="28" l="1"/>
  <c r="B13" i="28"/>
  <c r="B15" i="28"/>
  <c r="B14" i="28"/>
  <c r="AB60" i="21"/>
  <c r="AC61" i="21"/>
  <c r="AB61" i="21" s="1"/>
  <c r="Z60" i="21"/>
  <c r="Y61" i="21"/>
  <c r="B17" i="28" l="1"/>
  <c r="C13" i="28" s="1"/>
  <c r="AC62" i="21"/>
  <c r="AB62" i="21" s="1"/>
  <c r="AG60" i="21"/>
  <c r="AF60" i="21" s="1"/>
  <c r="AA61" i="21"/>
  <c r="Y62" i="21" s="1"/>
  <c r="Z61" i="21"/>
  <c r="C17" i="28" l="1"/>
  <c r="B20" i="28"/>
  <c r="C16" i="28"/>
  <c r="C14" i="28"/>
  <c r="C15" i="28"/>
  <c r="Z62" i="21"/>
  <c r="AA62" i="21"/>
  <c r="AE60" i="21"/>
  <c r="AD60" i="21" s="1"/>
  <c r="AH60" i="21" s="1"/>
  <c r="T56" i="21"/>
  <c r="Q56" i="21"/>
  <c r="N47" i="21"/>
  <c r="M47" i="21"/>
  <c r="K47" i="21"/>
  <c r="N55" i="21"/>
  <c r="M55" i="21"/>
  <c r="K55" i="21"/>
  <c r="N44" i="21"/>
  <c r="M44" i="21"/>
  <c r="K44" i="21"/>
  <c r="T51" i="21"/>
  <c r="Q51" i="21"/>
  <c r="T50" i="21"/>
  <c r="Q50" i="21"/>
  <c r="T49" i="21"/>
  <c r="Q49" i="21"/>
  <c r="T48" i="21"/>
  <c r="Q48" i="21"/>
  <c r="T47" i="21"/>
  <c r="Q47" i="21"/>
  <c r="T59" i="21"/>
  <c r="Q59" i="21"/>
  <c r="T58" i="21"/>
  <c r="Q58" i="21"/>
  <c r="T57" i="21"/>
  <c r="Q57" i="21"/>
  <c r="T55" i="21"/>
  <c r="Q55" i="21"/>
  <c r="T46" i="21"/>
  <c r="Q46" i="21"/>
  <c r="T45" i="21"/>
  <c r="Q45" i="21"/>
  <c r="T44" i="21"/>
  <c r="Q44" i="21"/>
  <c r="T43" i="21"/>
  <c r="Q43" i="21"/>
  <c r="T42" i="21"/>
  <c r="Q42" i="21"/>
  <c r="N42" i="21"/>
  <c r="M42" i="21"/>
  <c r="K42" i="21"/>
  <c r="T54" i="21"/>
  <c r="T53" i="21"/>
  <c r="Q52" i="21"/>
  <c r="Q54" i="21"/>
  <c r="Q53" i="21"/>
  <c r="T52" i="21"/>
  <c r="N52" i="21"/>
  <c r="M52" i="21"/>
  <c r="K52" i="21"/>
  <c r="AC47" i="21" l="1"/>
  <c r="Y49" i="21" s="1"/>
  <c r="Y47" i="21"/>
  <c r="Y51" i="21"/>
  <c r="AC51" i="21"/>
  <c r="AB51" i="21" s="1"/>
  <c r="AC55" i="21"/>
  <c r="AB55" i="21" s="1"/>
  <c r="Y55" i="21"/>
  <c r="AC44" i="21"/>
  <c r="AC45" i="21" s="1"/>
  <c r="Y44" i="21"/>
  <c r="Y42" i="21"/>
  <c r="AC42" i="21"/>
  <c r="AC43" i="21" s="1"/>
  <c r="AB43" i="21" s="1"/>
  <c r="Y52" i="21"/>
  <c r="AC52" i="21"/>
  <c r="Z49" i="21" l="1"/>
  <c r="AA49" i="21"/>
  <c r="Y50" i="21" s="1"/>
  <c r="AB47" i="21"/>
  <c r="AA51" i="21"/>
  <c r="Z51" i="21"/>
  <c r="AA47" i="21"/>
  <c r="Y48" i="21" s="1"/>
  <c r="Z47" i="21"/>
  <c r="AB45" i="21"/>
  <c r="AC46" i="21"/>
  <c r="AB46" i="21" s="1"/>
  <c r="AC56" i="21"/>
  <c r="AA55" i="21"/>
  <c r="Y56" i="21" s="1"/>
  <c r="Z55" i="21"/>
  <c r="AB44" i="21"/>
  <c r="AA44" i="21"/>
  <c r="Y45" i="21" s="1"/>
  <c r="AA45" i="21" s="1"/>
  <c r="Y46" i="21" s="1"/>
  <c r="Z44" i="21"/>
  <c r="AG42" i="21"/>
  <c r="AF42" i="21" s="1"/>
  <c r="AB42" i="21"/>
  <c r="Z42" i="21"/>
  <c r="AA42" i="21"/>
  <c r="Y43" i="21" s="1"/>
  <c r="Z43" i="21" s="1"/>
  <c r="AG52" i="21"/>
  <c r="AF52" i="21" s="1"/>
  <c r="AB52" i="21"/>
  <c r="AA52" i="21"/>
  <c r="AE52" i="21"/>
  <c r="AD52" i="21" s="1"/>
  <c r="Z52" i="21"/>
  <c r="AE47" i="21" l="1"/>
  <c r="AD47" i="21" s="1"/>
  <c r="AA48" i="21"/>
  <c r="Z48" i="21"/>
  <c r="Z50" i="21"/>
  <c r="AA50" i="21"/>
  <c r="AA43" i="21"/>
  <c r="AB56" i="21"/>
  <c r="AC57" i="21"/>
  <c r="Z45" i="21"/>
  <c r="AG44" i="21"/>
  <c r="AE42" i="21"/>
  <c r="AD42" i="21" s="1"/>
  <c r="AH42" i="21" s="1"/>
  <c r="Z46" i="21"/>
  <c r="AA46" i="21"/>
  <c r="AE44" i="21"/>
  <c r="AD44" i="21" s="1"/>
  <c r="AA56" i="21"/>
  <c r="Y57" i="21" s="1"/>
  <c r="Z56" i="21"/>
  <c r="AH52" i="21"/>
  <c r="AF44" i="21" l="1"/>
  <c r="AH44" i="21" s="1"/>
  <c r="D14" i="26"/>
  <c r="F14" i="26" s="1"/>
  <c r="AA57" i="21"/>
  <c r="Y58" i="21" s="1"/>
  <c r="Z57" i="21"/>
  <c r="AB57" i="21"/>
  <c r="AC58" i="21"/>
  <c r="AB58" i="21" s="1"/>
  <c r="AC59" i="21"/>
  <c r="AB59" i="21" s="1"/>
  <c r="N36" i="21"/>
  <c r="M36" i="21"/>
  <c r="K36" i="21"/>
  <c r="T38" i="21"/>
  <c r="Q38" i="21"/>
  <c r="T37" i="21"/>
  <c r="Q37" i="21"/>
  <c r="T36" i="21"/>
  <c r="Q36" i="21"/>
  <c r="O11" i="26" l="1"/>
  <c r="O12" i="27" s="1"/>
  <c r="N9" i="26"/>
  <c r="N10" i="27" s="1"/>
  <c r="L10" i="26"/>
  <c r="L11" i="27" s="1"/>
  <c r="N10" i="26"/>
  <c r="O8" i="26"/>
  <c r="O9" i="27" s="1"/>
  <c r="K11" i="26"/>
  <c r="K12" i="27" s="1"/>
  <c r="M11" i="26"/>
  <c r="M12" i="27" s="1"/>
  <c r="L11" i="26"/>
  <c r="L12" i="27" s="1"/>
  <c r="G14" i="26"/>
  <c r="L8" i="26"/>
  <c r="L9" i="27" s="1"/>
  <c r="O10" i="26"/>
  <c r="O11" i="27" s="1"/>
  <c r="K10" i="26"/>
  <c r="K11" i="27" s="1"/>
  <c r="N8" i="26"/>
  <c r="N9" i="27" s="1"/>
  <c r="L9" i="26"/>
  <c r="L10" i="27" s="1"/>
  <c r="O7" i="26"/>
  <c r="O8" i="27" s="1"/>
  <c r="K7" i="26"/>
  <c r="K8" i="27" s="1"/>
  <c r="M9" i="26"/>
  <c r="M10" i="27" s="1"/>
  <c r="K8" i="26"/>
  <c r="K9" i="27" s="1"/>
  <c r="M10" i="26"/>
  <c r="M11" i="27" s="1"/>
  <c r="M7" i="26"/>
  <c r="M8" i="27" s="1"/>
  <c r="O9" i="26"/>
  <c r="O10" i="27" s="1"/>
  <c r="N11" i="26"/>
  <c r="N12" i="27" s="1"/>
  <c r="M8" i="26"/>
  <c r="K9" i="26"/>
  <c r="K10" i="27" s="1"/>
  <c r="N7" i="26"/>
  <c r="N8" i="27" s="1"/>
  <c r="L7" i="26"/>
  <c r="L8" i="27" s="1"/>
  <c r="AG55" i="21"/>
  <c r="AF55" i="21" s="1"/>
  <c r="Z58" i="21"/>
  <c r="AA58" i="21"/>
  <c r="Y59" i="21" s="1"/>
  <c r="Y36" i="21"/>
  <c r="AC36" i="21"/>
  <c r="AC37" i="21" s="1"/>
  <c r="AB37" i="21" s="1"/>
  <c r="D16" i="28" l="1"/>
  <c r="D14" i="28"/>
  <c r="D15" i="28"/>
  <c r="D13" i="28"/>
  <c r="AA59" i="21"/>
  <c r="Z59" i="21"/>
  <c r="AE55" i="21"/>
  <c r="AD55" i="21" s="1"/>
  <c r="AH55" i="21" s="1"/>
  <c r="AC38" i="21"/>
  <c r="AB38" i="21" s="1"/>
  <c r="AB36" i="21"/>
  <c r="AA36" i="21"/>
  <c r="Y37" i="21" s="1"/>
  <c r="AA37" i="21" s="1"/>
  <c r="Y38" i="21" s="1"/>
  <c r="Z38" i="21" s="1"/>
  <c r="Z36" i="21"/>
  <c r="D17" i="28" l="1"/>
  <c r="E17" i="28" s="1"/>
  <c r="E22" i="28"/>
  <c r="AG36" i="21"/>
  <c r="AF36" i="21" s="1"/>
  <c r="AE36" i="21"/>
  <c r="AD36" i="21" s="1"/>
  <c r="Z37" i="21"/>
  <c r="AA38" i="21"/>
  <c r="T67" i="21"/>
  <c r="T34" i="21"/>
  <c r="Q67" i="21"/>
  <c r="T29" i="21"/>
  <c r="T19" i="21"/>
  <c r="T18" i="21"/>
  <c r="T17" i="21"/>
  <c r="T16" i="21"/>
  <c r="Q21" i="21"/>
  <c r="Q22" i="21"/>
  <c r="Q20" i="21"/>
  <c r="Q19" i="21"/>
  <c r="Q18" i="21"/>
  <c r="Q17" i="21"/>
  <c r="Q16" i="21"/>
  <c r="Q15" i="21"/>
  <c r="M15" i="21"/>
  <c r="AC48" i="21" s="1"/>
  <c r="T22" i="21"/>
  <c r="K15" i="21"/>
  <c r="T15" i="21"/>
  <c r="T20" i="21"/>
  <c r="T21" i="21"/>
  <c r="Q66" i="21"/>
  <c r="Q65" i="21"/>
  <c r="Q64" i="21"/>
  <c r="Q63" i="21"/>
  <c r="M63" i="21"/>
  <c r="T66" i="21"/>
  <c r="K63" i="21"/>
  <c r="T63" i="21"/>
  <c r="T64" i="21"/>
  <c r="T65" i="21"/>
  <c r="Q41" i="21"/>
  <c r="Q40" i="21"/>
  <c r="Q39" i="21"/>
  <c r="M39" i="21"/>
  <c r="T41" i="21"/>
  <c r="K39" i="21"/>
  <c r="T39" i="21"/>
  <c r="T40" i="21"/>
  <c r="Q34" i="21"/>
  <c r="M33" i="21"/>
  <c r="AC33" i="21" s="1"/>
  <c r="K33" i="21"/>
  <c r="Y33" i="21" s="1"/>
  <c r="Q31" i="21"/>
  <c r="Q32" i="21"/>
  <c r="Q30" i="21"/>
  <c r="Q29" i="21"/>
  <c r="Q28" i="21"/>
  <c r="Q27" i="21"/>
  <c r="M27" i="21"/>
  <c r="T27" i="21"/>
  <c r="T32" i="21"/>
  <c r="K27" i="21"/>
  <c r="T28" i="21"/>
  <c r="T30" i="21"/>
  <c r="T31" i="21"/>
  <c r="Q26" i="21"/>
  <c r="Q25" i="21"/>
  <c r="Q24" i="21"/>
  <c r="Q23" i="21"/>
  <c r="M23" i="21"/>
  <c r="T26" i="21"/>
  <c r="K23" i="21"/>
  <c r="T23" i="21"/>
  <c r="T24" i="21"/>
  <c r="T25" i="21"/>
  <c r="H220" i="22"/>
  <c r="B220" i="22" a="1"/>
  <c r="B220" i="22" s="1"/>
  <c r="J209" i="22" s="1"/>
  <c r="H219" i="22"/>
  <c r="H218" i="22"/>
  <c r="H217" i="22"/>
  <c r="H216" i="22"/>
  <c r="H215" i="22"/>
  <c r="H214" i="22"/>
  <c r="H213" i="22"/>
  <c r="H212" i="22"/>
  <c r="H211" i="22"/>
  <c r="H210" i="22"/>
  <c r="H209" i="22"/>
  <c r="N63" i="21"/>
  <c r="N39" i="21"/>
  <c r="N33" i="21"/>
  <c r="N27" i="21"/>
  <c r="N23" i="21"/>
  <c r="N15" i="21"/>
  <c r="E16" i="28" l="1"/>
  <c r="E15" i="28"/>
  <c r="E13" i="28"/>
  <c r="D20" i="28"/>
  <c r="E14" i="28"/>
  <c r="AA33" i="21"/>
  <c r="Y34" i="21" s="1"/>
  <c r="Z33" i="21"/>
  <c r="AC34" i="21"/>
  <c r="AB34" i="21" s="1"/>
  <c r="AB33" i="21"/>
  <c r="AB48" i="21"/>
  <c r="AC49" i="21"/>
  <c r="AH36" i="21"/>
  <c r="Y27" i="21"/>
  <c r="Z27" i="21" s="1"/>
  <c r="AC63" i="21"/>
  <c r="AB63" i="21" s="1"/>
  <c r="AC39" i="21"/>
  <c r="AC40" i="21" s="1"/>
  <c r="AC41" i="21" s="1"/>
  <c r="AC15" i="21"/>
  <c r="AC16" i="21" s="1"/>
  <c r="AC17" i="21" s="1"/>
  <c r="AB17" i="21" s="1"/>
  <c r="AC23" i="21"/>
  <c r="AB23" i="21" s="1"/>
  <c r="Y39" i="21"/>
  <c r="AA39" i="21" s="1"/>
  <c r="Y40" i="21" s="1"/>
  <c r="Y28" i="21"/>
  <c r="Z28" i="21" s="1"/>
  <c r="Y63" i="21"/>
  <c r="AA63" i="21" s="1"/>
  <c r="Y15" i="21"/>
  <c r="Z15" i="21" s="1"/>
  <c r="Y64" i="21"/>
  <c r="Y23" i="21"/>
  <c r="AA23" i="21" s="1"/>
  <c r="Y24" i="21" s="1"/>
  <c r="AC27" i="21"/>
  <c r="AC28" i="21" s="1"/>
  <c r="AC35" i="21" l="1"/>
  <c r="AB35" i="21" s="1"/>
  <c r="AA34" i="21"/>
  <c r="Y35" i="21" s="1"/>
  <c r="Z34" i="21"/>
  <c r="AB49" i="21"/>
  <c r="AC50" i="21"/>
  <c r="AA27" i="21"/>
  <c r="AB15" i="21"/>
  <c r="AA15" i="21"/>
  <c r="Y16" i="21" s="1"/>
  <c r="AA16" i="21" s="1"/>
  <c r="Y17" i="21" s="1"/>
  <c r="Z63" i="21"/>
  <c r="AA28" i="21"/>
  <c r="Y29" i="21" s="1"/>
  <c r="AA29" i="21" s="1"/>
  <c r="Y30" i="21" s="1"/>
  <c r="AA30" i="21" s="1"/>
  <c r="Y31" i="21" s="1"/>
  <c r="AB39" i="21"/>
  <c r="AB27" i="21"/>
  <c r="AB16" i="21"/>
  <c r="AC64" i="21"/>
  <c r="Z23" i="21"/>
  <c r="AC24" i="21"/>
  <c r="AB24" i="21" s="1"/>
  <c r="AB41" i="21"/>
  <c r="Z39" i="21"/>
  <c r="Z40" i="21"/>
  <c r="AA40" i="21"/>
  <c r="Y41" i="21" s="1"/>
  <c r="Z41" i="21" s="1"/>
  <c r="AB40" i="21"/>
  <c r="AA64" i="21"/>
  <c r="Y65" i="21" s="1"/>
  <c r="Z64" i="21"/>
  <c r="AC29" i="21"/>
  <c r="AB28" i="21"/>
  <c r="AA24" i="21"/>
  <c r="Y25" i="21" s="1"/>
  <c r="Z24" i="21"/>
  <c r="AG39" i="21"/>
  <c r="AF39" i="21" s="1"/>
  <c r="AA35" i="21" l="1"/>
  <c r="Z35" i="21"/>
  <c r="AB50" i="21"/>
  <c r="AG47" i="21"/>
  <c r="AF47" i="21" s="1"/>
  <c r="AH47" i="21" s="1"/>
  <c r="AA17" i="21"/>
  <c r="Z17" i="21"/>
  <c r="Z16" i="21"/>
  <c r="Z29" i="21"/>
  <c r="Z30" i="21"/>
  <c r="AC25" i="21"/>
  <c r="AB25" i="21" s="1"/>
  <c r="AB64" i="21"/>
  <c r="AC65" i="21"/>
  <c r="AA41" i="21"/>
  <c r="AE39" i="21" s="1"/>
  <c r="AD39" i="21" s="1"/>
  <c r="AH39" i="21" s="1"/>
  <c r="Z65" i="21"/>
  <c r="AA65" i="21"/>
  <c r="Y66" i="21" s="1"/>
  <c r="AA25" i="21"/>
  <c r="Y26" i="21" s="1"/>
  <c r="AE23" i="21" s="1"/>
  <c r="AD23" i="21" s="1"/>
  <c r="Z25" i="21"/>
  <c r="AC30" i="21"/>
  <c r="AB29" i="21"/>
  <c r="Z31" i="21"/>
  <c r="AA31" i="21"/>
  <c r="Y32" i="21" s="1"/>
  <c r="AC18" i="21"/>
  <c r="AC26" i="21" l="1"/>
  <c r="AB26" i="21" s="1"/>
  <c r="AG33" i="21"/>
  <c r="AF33" i="21" s="1"/>
  <c r="AC66" i="21"/>
  <c r="AB66" i="21" s="1"/>
  <c r="AC67" i="21"/>
  <c r="AB67" i="21" s="1"/>
  <c r="AB65" i="21"/>
  <c r="AE33" i="21"/>
  <c r="AD33" i="21" s="1"/>
  <c r="AA66" i="21"/>
  <c r="Y67" i="21" s="1"/>
  <c r="AE63" i="21" s="1"/>
  <c r="AD63" i="21" s="1"/>
  <c r="Z66" i="21"/>
  <c r="Z32" i="21"/>
  <c r="AA32" i="21"/>
  <c r="AE27" i="21"/>
  <c r="AD27" i="21" s="1"/>
  <c r="AA26" i="21"/>
  <c r="Z26" i="21"/>
  <c r="AC19" i="21"/>
  <c r="AB18" i="21"/>
  <c r="Y18" i="21"/>
  <c r="AC31" i="21"/>
  <c r="AB30" i="21"/>
  <c r="AG23" i="21" l="1"/>
  <c r="AF23" i="21" s="1"/>
  <c r="AH23" i="21" s="1"/>
  <c r="AH33" i="21"/>
  <c r="AG63" i="21"/>
  <c r="AF63" i="21" s="1"/>
  <c r="AH63" i="21" s="1"/>
  <c r="AA67" i="21"/>
  <c r="Z67" i="21"/>
  <c r="AB31" i="21"/>
  <c r="AC32" i="21"/>
  <c r="AA18" i="21"/>
  <c r="Y19" i="21" s="1"/>
  <c r="Z18" i="21"/>
  <c r="AC20" i="21"/>
  <c r="AB19" i="21"/>
  <c r="AC21" i="21" l="1"/>
  <c r="AB20" i="21"/>
  <c r="AA19" i="21"/>
  <c r="Y20" i="21" s="1"/>
  <c r="Z19" i="21"/>
  <c r="AB32" i="21"/>
  <c r="AG27" i="21"/>
  <c r="AF27" i="21" s="1"/>
  <c r="AH27" i="21" s="1"/>
  <c r="AB21" i="21" l="1"/>
  <c r="AC22" i="21"/>
  <c r="AA20" i="21"/>
  <c r="Y21" i="21" s="1"/>
  <c r="Z20" i="21"/>
  <c r="AB22" i="21" l="1"/>
  <c r="AG15" i="21"/>
  <c r="AF15" i="21" s="1"/>
  <c r="AA21" i="21"/>
  <c r="Y22" i="21" s="1"/>
  <c r="Z21" i="21"/>
  <c r="AA22" i="21" l="1"/>
  <c r="Z22" i="21"/>
  <c r="AE15" i="21"/>
  <c r="AD15" i="21" s="1"/>
  <c r="AH15"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B12" authorId="0" shapeId="0" xr:uid="{461B46D5-8CDA-4554-B9A3-47760BF2E3DB}">
      <text>
        <r>
          <rPr>
            <b/>
            <sz val="9"/>
            <color indexed="81"/>
            <rFont val="Tahoma"/>
            <family val="2"/>
          </rPr>
          <t>Celdas parametrizadas NO modificar.</t>
        </r>
        <r>
          <rPr>
            <sz val="9"/>
            <color indexed="81"/>
            <rFont val="Tahoma"/>
            <family val="2"/>
          </rPr>
          <t xml:space="preserve">
</t>
        </r>
      </text>
    </comment>
    <comment ref="D12" authorId="0" shapeId="0" xr:uid="{3E29571F-E9D2-4669-9800-675585F83863}">
      <text>
        <r>
          <rPr>
            <b/>
            <sz val="9"/>
            <color indexed="81"/>
            <rFont val="Tahoma"/>
            <family val="2"/>
          </rPr>
          <t>Celdas parametrizadas NO modificar.</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C5" authorId="0" shapeId="0" xr:uid="{6A13A42D-D56C-4C89-A296-5DBEFF65120B}">
      <text>
        <r>
          <rPr>
            <b/>
            <sz val="9"/>
            <color indexed="81"/>
            <rFont val="Tahoma"/>
            <family val="2"/>
          </rPr>
          <t>Celdas parametrizadas no modificar.</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Myriam Cubillos Benavides</author>
  </authors>
  <commentList>
    <comment ref="E5" authorId="0" shapeId="0" xr:uid="{07FB8D3C-7D57-43EB-9D5B-763682221650}">
      <text>
        <r>
          <rPr>
            <b/>
            <sz val="9"/>
            <color indexed="81"/>
            <rFont val="Tahoma"/>
            <family val="2"/>
          </rPr>
          <t>Celdas parametrizadas NO modificar.</t>
        </r>
        <r>
          <rPr>
            <sz val="9"/>
            <color indexed="81"/>
            <rFont val="Tahoma"/>
            <family val="2"/>
          </rPr>
          <t xml:space="preserve">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<sst xmlns="http://schemas.openxmlformats.org/spreadsheetml/2006/main" count="1319" uniqueCount="621">
  <si>
    <t>PERFIL DE RIESGO DEL PROCESO</t>
  </si>
  <si>
    <t>PROCESO:</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</si>
  <si>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</si>
  <si>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</si>
  <si>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</si>
  <si>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</si>
  <si>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</si>
  <si>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</si>
  <si>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</si>
  <si>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NIVELES DE RIESGO</t>
  </si>
  <si>
    <t>Sumatoria de riesgos Extremos</t>
  </si>
  <si>
    <t>Extremo</t>
  </si>
  <si>
    <t>Sumatoria de riesgos altos</t>
  </si>
  <si>
    <t>Alto</t>
  </si>
  <si>
    <t>Sumatoria de riesgos moderados</t>
  </si>
  <si>
    <t>Moderado</t>
  </si>
  <si>
    <t>Sumatoria de Riesgos bajos</t>
  </si>
  <si>
    <t>Bajo</t>
  </si>
  <si>
    <t>Total</t>
  </si>
  <si>
    <t>Total Riesgos Críticos</t>
  </si>
  <si>
    <t>MAPA DE RIESGOS DE PROCESO</t>
  </si>
  <si>
    <r>
      <t>CÓDIGO:</t>
    </r>
    <r>
      <rPr>
        <sz val="12"/>
        <rFont val="Arial Narrow"/>
        <family val="2"/>
      </rPr>
      <t xml:space="preserve"> F-GM-29</t>
    </r>
  </si>
  <si>
    <r>
      <t xml:space="preserve">VERSIÓN: </t>
    </r>
    <r>
      <rPr>
        <sz val="12"/>
        <rFont val="Arial Narrow"/>
        <family val="2"/>
      </rPr>
      <t>05</t>
    </r>
  </si>
  <si>
    <r>
      <t xml:space="preserve">FECHA: </t>
    </r>
    <r>
      <rPr>
        <sz val="12"/>
        <rFont val="Arial Narrow"/>
        <family val="2"/>
      </rPr>
      <t>30/03/2022</t>
    </r>
  </si>
  <si>
    <r>
      <t xml:space="preserve">PÁGINA: </t>
    </r>
    <r>
      <rPr>
        <sz val="12"/>
        <rFont val="Arial Narrow"/>
        <family val="2"/>
      </rPr>
      <t>1 de 3</t>
    </r>
  </si>
  <si>
    <t xml:space="preserve">4.2.1. ESTABLECIMIENTO DEL CONTEXTO </t>
  </si>
  <si>
    <t xml:space="preserve">PROCESO: </t>
  </si>
  <si>
    <t>Gestión Social</t>
  </si>
  <si>
    <t>FECHA DE ELABORACIÓN O ACTUALIZACIÓN:</t>
  </si>
  <si>
    <t>Marzo de 2022</t>
  </si>
  <si>
    <t>RESPONSABLE (s) DE ELABORACIÓN O ACTUALIZACIÓN</t>
  </si>
  <si>
    <t>Subdirector Poblacional</t>
  </si>
  <si>
    <t>Factor: Externo/Interno/Proceso</t>
  </si>
  <si>
    <t xml:space="preserve">Variable </t>
  </si>
  <si>
    <t xml:space="preserve">¿Cómo me puede afectar? </t>
  </si>
  <si>
    <t>CARÁCTER: Positivo/negativo</t>
  </si>
  <si>
    <t>Breve análisis</t>
  </si>
  <si>
    <t>Factor Externo</t>
  </si>
  <si>
    <t>Cambio normativo a nivel nacional, departamental y municipal relacionado con el objeto misional del Instituto</t>
  </si>
  <si>
    <t>POSITIVO</t>
  </si>
  <si>
    <t>Amplia posibilidades de atención a los hogares
Permite la articulación con la norma nacional
Garantías para la atención a los hogares</t>
  </si>
  <si>
    <t>Factor Interno</t>
  </si>
  <si>
    <t>NEGATIVO</t>
  </si>
  <si>
    <t>Este factor no está bajo el control del proceso
El cambio no es para toda la población
Afectación en la consecución de metas y objetivos debido a las actualizaciones normativas</t>
  </si>
  <si>
    <t>Factor de proceso</t>
  </si>
  <si>
    <t>Insuficiente oferta de vivienda de interés prioritario -VIP-</t>
  </si>
  <si>
    <t xml:space="preserve">
Especulación en el mercado inmobiliario
Poca accesibilidad de las familias al subsidio municipal de vivienda
No tener proyectos desde el Isvimed para la población
</t>
  </si>
  <si>
    <t>Dificultad para el acceso a la vivienda por parte de los hogares por no capacidad de cierres financieros</t>
  </si>
  <si>
    <t>Incumplimiento de metas</t>
  </si>
  <si>
    <t>Transferencia presupuestal de la Alcaldía</t>
  </si>
  <si>
    <t xml:space="preserve">Insuficiente presupuesto limitando la atención a la demanda de la población
</t>
  </si>
  <si>
    <t>Permite funcionamiento y acompañamiento social de la población
Entrega de soluciones habitacionales con valor agregado con el acompañamiento social</t>
  </si>
  <si>
    <t>Retraso del gobierno nacional en el proceso de reasignación del subsidio familiar de vivienda a los hogares beneficiarios</t>
  </si>
  <si>
    <t xml:space="preserve">Se desvirtúa el cumplimiento de obligaciones de los hogares
Desvirtúa intencionalidad del objeto del subsidio
Dificultad para coordinar los tiempos del ente territorial (Isvimed) y el gobierno nacional
</t>
  </si>
  <si>
    <t xml:space="preserve">Falta de idoneidad, destrezas y habilidades en la selección de los proveedores para el apoyo a la gestión </t>
  </si>
  <si>
    <t>Incumplimiento del objeto misional de la entidad
Afectación de las actividades realizadas desde el proceso desde todos los componentes
Incidencia en el cumplimiento de los objetivos de desempeño y funciones del personal vinculado
Incremento en el número de evaluaciones de proveedores por debajo del rango esperado</t>
  </si>
  <si>
    <t>Dificultad en el acceso y acompañamiento a las comunidades por pendientes históricos sin subsanar (jurídicos y técnicos)</t>
  </si>
  <si>
    <t>Desconfianza en las intervenciones
Mala reputación
Desligimitidad en las comunidades como Isvimed</t>
  </si>
  <si>
    <t xml:space="preserve">Debilidad en la caracterización de la población a acompañar </t>
  </si>
  <si>
    <t xml:space="preserve">Falencias en las bases de datos y la interpretación de las mismas
</t>
  </si>
  <si>
    <t>Gestión de relaciones</t>
  </si>
  <si>
    <t>Actualmente se cuenta con articulaciones interinstitucionales e intersectoriales fuertes para el desarrollo del acompañamiento social a la población
Reconocimiento de las comunidades del quehacer institucional</t>
  </si>
  <si>
    <t>Trabajo en equipo</t>
  </si>
  <si>
    <t>Articulación en las acciones que desarrolla el equipo</t>
  </si>
  <si>
    <t xml:space="preserve">Dinámicas cambiantes del territorio y la población </t>
  </si>
  <si>
    <t>Ser dinámicos, adaptarnos al cambio, obliga actualización permanente en metodologías de intervención
Valorar, reconocer nuestro aporte a la construcción de ciudad</t>
  </si>
  <si>
    <t xml:space="preserve">Cambios en la estructura organizacional </t>
  </si>
  <si>
    <t>Afectación en las dinámicas de los procesos por los cambios en la estructura del equipo</t>
  </si>
  <si>
    <t>Ubicación del personal de acuerdo con su idoneidad y necesidades del proceso</t>
  </si>
  <si>
    <t>Fallos judiciales contradictorios de la norma vigente</t>
  </si>
  <si>
    <t>Cumplimiento del fallo judicial contradictorios con el procedimiento y procesos definidos, retrasando entrega a otras familias, reasignación. 
Criterios subjetivos de los jueces y desapropiación normativa municipal</t>
  </si>
  <si>
    <t>Afectación zonas de riesgo por cambios climáticos</t>
  </si>
  <si>
    <t xml:space="preserve">Incrementa demanda de atención de familias </t>
  </si>
  <si>
    <t>Mentalidad de la población y condiciones socioculturales de vulnerabilidad</t>
  </si>
  <si>
    <t>Afecta acceso de la población a los subsidios, asumir corresponsabilidad y sostenibilidad de los procesos</t>
  </si>
  <si>
    <t xml:space="preserve">Equipo empoderado y apropiado del quehacer </t>
  </si>
  <si>
    <t>Con sentido de pertenencia
Propósito común, claridad de los objetivos
Proactivo
Con disposición para aprender</t>
  </si>
  <si>
    <t>Liderazgo compartido</t>
  </si>
  <si>
    <t>Al interior del proceso se tiene un buen desarrollo del modelo de liderazgo para el desarrollo de las actividades</t>
  </si>
  <si>
    <t xml:space="preserve"> Carga laboral alta</t>
  </si>
  <si>
    <t>Asumir y enfrentar coyunturas
Genera desmotivaciones en el equipo</t>
  </si>
  <si>
    <t>Falta de claridad de la comunicación desde la alta dirección y en todos los niveles de la organización, así como debilidad en el establecimiento/actualización de los canales de información</t>
  </si>
  <si>
    <t>Afectaciones en la intervención con la población
Afectaciones en el ambiente laboral
Falencias en la comunicación interna
Incremento de la comunicación no formal en la organización
Desarticulación de los procesos con la estrategia general de la organización</t>
  </si>
  <si>
    <t>Falencias en la planeación institucional en coherencia con la realidad habitacional de Medellín y los recursos asignados</t>
  </si>
  <si>
    <t>Afectación de la planeación del proceso social, los resultados, la ejecución, el cumplimiento de metas
No indicadores, análisis de impacto del acompañamiento y la gestión social
Caracterización y análisis de la información</t>
  </si>
  <si>
    <t>Desarticulación entre las diferentes subdirecciones</t>
  </si>
  <si>
    <r>
      <rPr>
        <sz val="12"/>
        <rFont val="Arial Narrow"/>
        <family val="2"/>
      </rPr>
      <t>Reprocesos, afecta clima organizacional,</t>
    </r>
    <r>
      <rPr>
        <sz val="12"/>
        <color indexed="8"/>
        <rFont val="Arial Narrow"/>
        <family val="2"/>
      </rPr>
      <t xml:space="preserve"> afecta el resultado y la efectividad de la gestión Procesos y procedimientos desarticulados</t>
    </r>
  </si>
  <si>
    <t>Gestión de conocimiento</t>
  </si>
  <si>
    <t>Cambio de personal que lleva a retrocesos de los procesos y fuga de conocimiento, afectando la dinámica organizacional
Visiones encontradas en el quehacer por cambios en los funcionarios
Incumplimiento en la aplicación de algunos manuales y procedimientos</t>
  </si>
  <si>
    <t>Procesos y proyectos inconclusos</t>
  </si>
  <si>
    <t>Históricos por subsanar
Falta de gestión y seguimiento para el cierre exitoso de pendientes</t>
  </si>
  <si>
    <t>Debilidad en sistemas de información y de administración de bases de datos</t>
  </si>
  <si>
    <t>Reproceso, perdida de información histórica, equivocaciones en las asignaciones y en las metas.</t>
  </si>
  <si>
    <t>Inducción, re-inducción y entrenamiento</t>
  </si>
  <si>
    <t xml:space="preserve">Falta de conocimiento del personal de la plataforma institucional
Desconocimiento de la efectividad del programa de inducción establecido por la entidad
</t>
  </si>
  <si>
    <t>CÓDIGO: F-GM-29</t>
  </si>
  <si>
    <r>
      <t xml:space="preserve">VERSIÓN: </t>
    </r>
    <r>
      <rPr>
        <sz val="11"/>
        <color theme="1"/>
        <rFont val="Arial Narrow"/>
        <family val="2"/>
      </rPr>
      <t>05</t>
    </r>
  </si>
  <si>
    <r>
      <t xml:space="preserve">FECHA: </t>
    </r>
    <r>
      <rPr>
        <sz val="11"/>
        <color theme="1"/>
        <rFont val="Arial Narrow"/>
        <family val="2"/>
      </rPr>
      <t>30/03/2022</t>
    </r>
  </si>
  <si>
    <r>
      <t xml:space="preserve">PÁGINA: </t>
    </r>
    <r>
      <rPr>
        <sz val="11"/>
        <color theme="1"/>
        <rFont val="Arial Narrow"/>
        <family val="2"/>
      </rPr>
      <t>3 de 3</t>
    </r>
  </si>
  <si>
    <t>marzo de 2025</t>
  </si>
  <si>
    <t>OBJETIVO:</t>
  </si>
  <si>
    <t>Realizar acompañamiento social a la población según las particularidades de cada una de las líneas de acción establecidas al interior de la Subdirección Poblacional. Estas son:
- Modelo de intervención social
- Postulaciones y entregas
- Acompañamiento social a vivienda nueva
- Acompañamiento social a población sujeto de reasentamiento por obra pública
- Acompañamiento social a población sujeto de reasentamiento por riesgo, desastre y/o calamidad
- Acompañamiento social a copropiedades y verificación de habitabilidad</t>
  </si>
  <si>
    <t>ALCANCE:</t>
  </si>
  <si>
    <r>
      <t xml:space="preserve">Desde la caracterización social de la población hasta el acompañamiento social posterior a la </t>
    </r>
    <r>
      <rPr>
        <sz val="12"/>
        <rFont val="Arial Narrow"/>
        <family val="2"/>
      </rPr>
      <t>materialización del Subsidio Distrital de Vivienda</t>
    </r>
    <r>
      <rPr>
        <sz val="12"/>
        <color theme="1"/>
        <rFont val="Arial Narrow"/>
        <family val="2"/>
      </rPr>
      <t xml:space="preserve">, cuando aplique. </t>
    </r>
  </si>
  <si>
    <t>4.2. IDENTIFICACION DEL RIESGO</t>
  </si>
  <si>
    <t>4.3. EVALUACIÓN DEL RIESGO</t>
  </si>
  <si>
    <t>4.4. TRATAMIENTO DEL RIESGO</t>
  </si>
  <si>
    <t>SEGUIMIENTO TRIMESTRE 1 DE 2026</t>
  </si>
  <si>
    <r>
      <t xml:space="preserve">RELACIÓN DE EVIDENCIAS
</t>
    </r>
    <r>
      <rPr>
        <b/>
        <sz val="10"/>
        <color rgb="FFFF0000"/>
        <rFont val="Arial Narrow"/>
        <family val="2"/>
      </rPr>
      <t>IMPORTANTE:</t>
    </r>
    <r>
      <rPr>
        <b/>
        <sz val="10"/>
        <color theme="1"/>
        <rFont val="Arial Narrow"/>
        <family val="2"/>
      </rPr>
      <t xml:space="preserve">- RELACIONAR LOS ENLACES SOBRE MATERIALIZACION DE RIESGOS Y SOBRE APLICACIÓN DE CONTROLES
</t>
    </r>
    <r>
      <rPr>
        <b/>
        <sz val="10"/>
        <rFont val="Arial Narrow"/>
        <family val="2"/>
      </rPr>
      <t>-LAS EVIDENCIAS SOBRE APLICACIÓN DE CONTROLES SON LAS QUE SE ENCUENTRAN EN LA COLUMNA X - RELACIONARLAS UNA A UNA CON EL ENLACE CORRESPONDIENTE.</t>
    </r>
  </si>
  <si>
    <t>SEGUIMIENTO TRIMESTRE 2 DE 2026</t>
  </si>
  <si>
    <t>SEGUIMIENTO TRIMESTRE 3 DE 2026</t>
  </si>
  <si>
    <t>SEGUIMIENTO TRIMESTRE 4 DE 2026</t>
  </si>
  <si>
    <t xml:space="preserve">Referencia </t>
  </si>
  <si>
    <t>Objetivo / Requisto de referencia</t>
  </si>
  <si>
    <t>Temática / Linea de Acción</t>
  </si>
  <si>
    <t>1. QUE?</t>
  </si>
  <si>
    <t>2. COMO SE REFLEJA?</t>
  </si>
  <si>
    <t>3. POR QUE?
(Evento Potencial Principal)</t>
  </si>
  <si>
    <t>Descripción del Riesgo
(1+2+3)</t>
  </si>
  <si>
    <t>Causa
(Evento Potencial Intermedio)</t>
  </si>
  <si>
    <t>Clasificación del Riesgo</t>
  </si>
  <si>
    <t>EVALUACION DE RIESGO INHERENTE</t>
  </si>
  <si>
    <t>VALORACION DE CONTROLES</t>
  </si>
  <si>
    <t>EVALUACION DEL RIESGO RESIDUAL</t>
  </si>
  <si>
    <t>Tratamiento</t>
  </si>
  <si>
    <t>FORMULAR ACCIONES ESPECIFICAS</t>
  </si>
  <si>
    <t>Probabilidad Inherente</t>
  </si>
  <si>
    <t>%</t>
  </si>
  <si>
    <t>Impacto 
Inherente</t>
  </si>
  <si>
    <t>Zona de Riesgo Inherente</t>
  </si>
  <si>
    <t>No. Control</t>
  </si>
  <si>
    <t>Descripción del Control (Medidas Actuales)</t>
  </si>
  <si>
    <t>Afectación</t>
  </si>
  <si>
    <t>Atributos</t>
  </si>
  <si>
    <t>Probabilidad Residual</t>
  </si>
  <si>
    <t xml:space="preserve">Probabilidad Residual </t>
  </si>
  <si>
    <t>Impacto Residual</t>
  </si>
  <si>
    <t>Probabilidad Residual Final</t>
  </si>
  <si>
    <t>Impacto Residual Final</t>
  </si>
  <si>
    <t>Zona de Riesgo Residual Final</t>
  </si>
  <si>
    <t>VER ACCION #</t>
  </si>
  <si>
    <t>Tipo</t>
  </si>
  <si>
    <t>Implementación</t>
  </si>
  <si>
    <t>Calificación</t>
  </si>
  <si>
    <t>Documentación</t>
  </si>
  <si>
    <t>Frecuencia</t>
  </si>
  <si>
    <t>Evidencia</t>
  </si>
  <si>
    <t>Nombre de la evidencia</t>
  </si>
  <si>
    <t>GS6</t>
  </si>
  <si>
    <t>Lograr un 80% de cumplimiento del cronograma de asistencias técnicas de acompañamiento social a copropiedades.</t>
  </si>
  <si>
    <t>Acompañamiento social a copropiedades</t>
  </si>
  <si>
    <t>Afectación reputacional del Insituto</t>
  </si>
  <si>
    <t>Por insatisfacción de la comunidad respecto a la falta de acompañamiento para lograr una mejor convivencia en los proyectos habitacionales que desarrolla el Instituto  de acuerdo a la ley de propiedad horizontal.</t>
  </si>
  <si>
    <t>Debido a que no se cumple con las actividades de acompañamiento social a copropiedades programadas para la vigencia.
Debido a que las actividades de acompañamiento no se relizan de acuerdo con los protocolos y guías metodológicas</t>
  </si>
  <si>
    <t>Posibilidad de afectación reputacional del Insituto reflejada en la  insatisfacción de la comunidad respecto a la falta de acompañamiento para favorecer la adaptación al nuevo hábitat y lograr una mejor convivencia en los proyectos habitacionales que desarrolla el Instituto de acuerdo a la ley de propiedad horizontal. Lo anterior, debido a que no se cumple con las actividades de acompañamiento social a copropiedades programadas para la vigencia, y a que las actividades de acompañamiento no se relizan de acuerdo con los protocolos y guías metodológicas.</t>
  </si>
  <si>
    <t>1. Programación inadecuada de actividades.</t>
  </si>
  <si>
    <t>Gestión</t>
  </si>
  <si>
    <t>Alta</t>
  </si>
  <si>
    <t>El profesional líder de copropiedades define anualmente las metas de la línea de acción de acuerdo con las necesidades de cada copropiedad, las directrices institucionales y el desempeño de los indicadores. Con base en lo anterior, elabora una programación mensual de actividades, a la cual se realiza seguimiento de manera continua. El seguimiento queda consignado en el plan táctico de la línea de acción.</t>
  </si>
  <si>
    <t>Preventivo</t>
  </si>
  <si>
    <t>Manual</t>
  </si>
  <si>
    <t>Sin Documentar</t>
  </si>
  <si>
    <t>Aleatoria</t>
  </si>
  <si>
    <t>Con Registro</t>
  </si>
  <si>
    <t>Plan táctico de la línea de acción
Programación mensual de actividades</t>
  </si>
  <si>
    <t>Reducir (mitigar)</t>
  </si>
  <si>
    <t>¿El riesgo y sus causas continúan vigentes de acuerdo al contexto? 
El riesgo y sus causas siguen vigentes, ya que en este primer trimestre la línea de Acompañamiento Social a Copropiedades y Verificación de Habitabilidad, desarrollo 91 asistencias técnicas, que vinculan aproximadamente a 1885 personas, con el acompañamiento social antes durante y después por parte del equipo de profesionales en los proyectos habitacionales entregados recientemente, por entregar, y a demanda en otras copropiedades con más tiempo de entrega especialmente para asesoría y/o participación en  asambleas ordinarias.
Se materializó el Riesgo?  (Evento Potencial Principal. Columna F): 
No se materializa el Evento Potencial Principal, ya que se cumple con las actividades definidas en el plan táctico y acorde al manual de acompañamiento social a copropiedades.
Se materializaron las causas? (Eventos Potenciales Intermedios. Columna H):
No se materializan los Eventos Potenciales Intermedios, ya que el plan táctico define adecuadamente las acciones y actividades de la línea, el personal contratado es idóneo y con conocimiento de los protocolos y guías metodológicas, y se cuenta con los recursos básicos a nivel institucional para desarrollar las actividades de la línea en mención.
Los Controles están bien diseñados, se aplican conforme al diseño y son efectivos? 
Los controles están adecuadamente diseñados y se aplican correctamente, ya que la profesional responsable de la Línea definió metas plasmadas en el plan táctico y se le hace seguimiento mensual, también cuentan con los recursos logísticos, de trasporte y talento humano requerido desde dicha línea. A su vez, la profesional responsable realiza los estudios previos y garantiza la idoneidad del personal en el proceso de contratación de los contratos vigentes. Se contrato al mismo equipo, por lo tanto, no fue necesario realizar la inducción, porque este equipo maneja las acciones de la línea y actúa en el marco de los protocolos definidos, además, utilizando los servicios de seguridad cuando lo considera pertinente.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Continuar cualificando la implementación del acompañamiento social en las copropiedades gerenciadas por la administración distrital.</t>
  </si>
  <si>
    <t>"Plan Táctico de Copropiedades:
https://isvimedgovco.sharepoint.com/:x:/s/8Poblacional/IQD4AJJSr3W0S4UQjPS0cKTRATmB8eoUgoXj7n6Vi2srR6s?e=MMKzCA
Actividades Externas Enero
https://isvimedgovco.sharepoint.com/:x:/s/8Poblacional/IQAv-t7kxF64TbTAykUEYDv5ASD_8yC6zgHhZ3GhEYFnHQg?e=gqJxWt
Actividades Externas Febrero
https://isvimedgovco.sharepoint.com/:x:/s/8Poblacional/IQDrjuQXWo49S7KrXYSKtVjsAeuQ5Qpmjq88jfI97KqudeQ?e=QhHVLK
Actividades Externas Marzo
https://isvimedgovco.sharepoint.com/:x:/s/8Poblacional/IQAlKYdALz_OTqPEqeG57anmAVqC6QAthsSPQU3SDYdiVJ0?e=S3pylA
Contratacion equipo:
https://isvimedgovco.sharepoint.com/:f:/s/8Poblacional/IgDetUP4nnreS7cOkh-2a_TMAZ96PrGfBqTF65DqmkgWVhU?e=j37byW</t>
  </si>
  <si>
    <t>"Plan Táctico de Copropiedades:
https://isvimedgovco.sharepoint.com/:x:/s/8Poblacional/IQD4AJJSr3W0S4UQjPS0cKTRATmB8eoUgoXj7n6Vi2srR6s?e=MMKzCA
Cronograma de actividades:
https://isvimedgovco.sharepoint.com/:x:/r/sites/8Poblacional-05.Copropiedades/Documentos%20compartidos/05.Copropiedades/00.%202026%20ACOMPA%C3%91AMIENTO%20SOCIAL%20A%20COPROPIEDADES%20Y%20VERIFICACI%C3%93N%20DE%20HABITABILIDAD/CRONOGRAMA%20DE%20ACTIVIDADES/CRONOGRAMA%20DE%20ACTIVIDADES%20COPROPIEDADES%202026.xlsx?d=w7a17553e4c0444059280837c2e18c432&amp;csf=1&amp;web=1&amp;e=UbG1EQ
Acompañamiento social abril
https://isvimedgovco.sharepoint.com/:x:/s/8Poblacional/IQAKHiGR9jIQRZCqPtsJIVFSAU1Z7ZY-M_vLQJJWvY0RiKo?e=jwhOYb
Acompañamiento social mayo
https://isvimedgovco.sharepoint.com/:x:/s/8Poblacional/IQDZ9r2kWT1BT5Sm2EAXFoW6AdpzqRPqQLEYrH1pWErTNd8?e=Jd81mR
Acompañamiento social junio
https://isvimedgovco.sharepoint.com/:x:/s/8Poblacional/IQBvcsPiIuVUT6CfHfxjOolwAbLTyHgPejZ3ffcNRERF5G0?e=zIjeIA
Evaluación de Proveedores 2026-I
https://isvimedgovco.sharepoint.com/:f:/r/sites/8Poblacional-05.Copropiedades/Documentos%20compartidos/05.Copropiedades/00.%202026%20ACOMPA%C3%91AMIENTO%20SOCIAL%20A%20COPROPIEDADES%20Y%20VERIFICACI%C3%93N%20DE%20HABITABILIDAD/EVALUACI%C3%93N%20DE%20PROVEEDORES%202026-I?csf=1&amp;web=1&amp;e=bam4VT</t>
  </si>
  <si>
    <t>Se materializó el Riesgo?  (Ver evento potencial principal en Columna F. Relacionar detalles de la materialización - que, como, cuando, donde):
Los Controles están bien  diseñados, se aplican de acuerdo al diseño  y son efectivos? (Ver controles en la columna P / Concluir frente a cada control)
Que acciones propones o se están llevando a cabo para gestionar el riesgo que se materializó? (Si no aplica colocar N/A)
Que acciones propones o se están llevando a cabo para fortalecer los controles? (En el caso de que tener Acciones de mejora / Acciones correctivas en proceso, relacionar el avance. Si tienes acciones específicas a desarrollar en la columna AJ, también relacionar el avance)</t>
  </si>
  <si>
    <t>2. Ausencia de presupuesto para actividades logísticas y transporte.</t>
  </si>
  <si>
    <t>El profesional líder de la línea de copropiedades identifica las necesidades de recursos para cada vigencia y las somete a aprobación por parte de la Subdirección Poblacional, para su posterior inclusión en el plan anual de adquisiciones.
Así mismo, revisa periódicamente el cumplimiento de los términos establecidos en el mismo</t>
  </si>
  <si>
    <t>Formato de solicitud de necesidades
Plan de Anual de Adquisiciones y evidencias de ejecución</t>
  </si>
  <si>
    <t>4. Desconocimiento de protocolos y guías metodológicas.</t>
  </si>
  <si>
    <t>El profesional líder de copropiedades realiza inducción general de la línea de acción a los profesionales que hacen parte del equipo. Adicionalmente, realiza capacitación específica sobre las actividades a desarrollar y las metodologías utilizadas. Para ello, diligencia formato de registro de asistencia como evidencia.
Documento a socializar: MANUAL DE ACOMPAÑAMIENTO SOCIAL A COPROPIEDADES</t>
  </si>
  <si>
    <t>Registro de asistencia</t>
  </si>
  <si>
    <t>5. Problemas de seguridad para ingresar a campo (orden público, riesgo de salud, desastres naturales, etc.)</t>
  </si>
  <si>
    <t>5.1.</t>
  </si>
  <si>
    <t>El profesional líder de la línea de copropiedades verifica que los profesionales que asistan a actividades de campo conozcan  el programa de prevención de riesgo público, lo cual se realiza en los distintos espacios de capacitación y reunión de la línea de acción.
Documento a socializar: PROGRAMA DE PREVENCIÓN DE RIESGO PÚBLICO</t>
  </si>
  <si>
    <t>Actas de equipo primario.
Registros de asistencia</t>
  </si>
  <si>
    <t>5.2.</t>
  </si>
  <si>
    <t>El profesional líder de la línea de copropiedades informa mediante correo electrónico al asesor de seguridad sobre las actividades a desarrollar en campo y el personal que asistirá, con el fin de coordinar la seguridad de las actividades a desarrollar. El consultor de seguridad realiza requerimiento a la empresa de seguridad solicitando acompañamiento mediante vigilancia (motorizado - vigilante) al personal que ejecuta las actividades de copropiedades.</t>
  </si>
  <si>
    <t>Correo electrónico con el requerimiento a la empresa de seguridad.
Registro fotográfico del acompañamiento de la empresa de seguridad al evento.</t>
  </si>
  <si>
    <t xml:space="preserve">6. Falta de competencia e idoneidad del personal contratado.
</t>
  </si>
  <si>
    <t>6.1.</t>
  </si>
  <si>
    <t>El Director, Subdirector o Jefe de Oficina, en relación con cada contratación de personal que se requiera para la prestación de servicios profesionales y de apoyo a la gestión,  verifica en el Estudio Previo respectivo, que la idoneidad y experiencia requerida sea coherente con las obligaciones contractuales a desarrollar, y procede a firmarlo en consecuencia.
Documentado en: MANUAL DE CONTRATACIÓN</t>
  </si>
  <si>
    <t>Documentado</t>
  </si>
  <si>
    <t>Estudio previo de contratos de prestación servicios profesionales y de apoyo a la gestión persona natural</t>
  </si>
  <si>
    <t>6.2.</t>
  </si>
  <si>
    <t>Los supervisores realizan de manera semestral la evaluación de proveedores, en donde se contrasta el cumplimiento de las obligaciones contractuales con el desempeño de las mismas. En el caso de una mala calificación, el contratista debe ser reevaluado y el supervisor debe generar compromisos y aspectos a mejorar.
Documentado en: FGI-12 Y FGI-13. FORMATOS DE EVALUACIÓN DE PROVEEDORES</t>
  </si>
  <si>
    <t>Detectivo</t>
  </si>
  <si>
    <t>Registros de evaluación de proveedores</t>
  </si>
  <si>
    <t>7. Demoras en la contratación de personal para la gestión social a copropiedades.</t>
  </si>
  <si>
    <t>El profesional líder de la línea de copropiedades verifica que el proceso precontractual y contractual para la contratación de personal (contratos de prestación de servicios profesionales y de apoyo a la gestión), se realice de acuerdo a los tiempos establecidos en el Plan Anual de Adquisiciones.</t>
  </si>
  <si>
    <t>Estudios previos y anexos
Minuta de contratos</t>
  </si>
  <si>
    <t>GS8</t>
  </si>
  <si>
    <t>Lograr un 95% de asignación del subsidio distrital de arrendamiento temporal con respecto a los hogares viabilizados.</t>
  </si>
  <si>
    <t>Acompañamiento social a población sujeto de reasentamiento por riesgo, desastre y/o calamidad
(Arrendamiento temporal)</t>
  </si>
  <si>
    <t>Afectación económica y reputacional</t>
  </si>
  <si>
    <t>Indebida asignación del Subsidio Distrital de Arrendamiento Temporal (detrimento  patrimonial)
- Hallazgos disciplinarios y penales por parte de los entes de control.
- El costo social (perdida del derecho) asociado a la perdida de la oportunidad para la asignación del Subsidio Distrital de Arrendamiento Temporal - SDAT a hogares que cumplen con los requisitos legales.</t>
  </si>
  <si>
    <t>Debido a la asignación / destinación del Subsidio Distrital de Arrendamiento Temporal - SDAT sin el cumplimiento de los requisitos legales</t>
  </si>
  <si>
    <t>Posibilidad de afectación económica y reputacional del Instituto reflejada en la indebida asignación del Subsidio Distrital de Arrendamiento Temporal (detrimento  patrimonial), en hallazgos disciplinarios y penales por parte de los entes de control, así como en el costo social (perdida del derecho) asociado a la perdida de la oportunidad para la asignación del Subsidio Distrital de Arrendamiento Temporal - SDAT a hogares que cumplen con los requisitos legales.
Lo anterior, debido a la asignación / destinación del Subsidio Distrital de Arrendamiento Temporal - SDAT sin el cumplimiento de los requisitos legales.</t>
  </si>
  <si>
    <t>1. Indebida verificación de los requisitos establecidos en la norma vigente con respecto al subsidio en mención.</t>
  </si>
  <si>
    <t>Fiscal</t>
  </si>
  <si>
    <t>Los responsables de la verificación de requisitos para el otorgamiento del subsidio,verifican a los hogares postulados al subsidio, y validan el tipo de afiliación a la seguridad social de los integrantes mayores de edad de cada hogar. Esta validación se realiza a través del Sistema de Consulta de la Base de Datos Única de Afiliados del Sistema General de Seguridad Social en Salud (BDUA). Se verifica además, que el hogar no haya recibido un subsidio para vivienda de  las cajas de compensación y se revisa en catastro a nivel nacional para verificar que las familias no posean otras viviendas distintas de la que fueron evacuadas.
En caso que se identifiquen personas afiliadas al régimen contributivo como cotizantes, esto significa que dichas personas perciben ingresos ya sea a través de un contrato laboral o como independientes. Esta metodología de verificación facilita la identificación de aquellos integrantes del hogar que perciben ingresos para poder establecer el valor total de los mismos. Aquellos hogares con ingresos que  superan los 2 SMMLV o que poseen vivienda, son los que no pueden acceder al Subsidio Distrital de Arrendamiento Temporal - SDAT. Hasta dos meses posterior a la notificación de los incumplimientos, el hogar puede aclarar la situación para obtener el subsidio.
Documentado en: M-GS-05 - MANUAL PARA APLICACION DEL SUBSIDIO DE ARRENDAMIENTO TEMPORAL</t>
  </si>
  <si>
    <t>Continua</t>
  </si>
  <si>
    <t>Base de datos inicial con potenciales beneficiarios del subsidio enviado por el operador.
Base de datos definitiva con verificaciones adicionales del BDUA, catastro nacional, cajas de compensación.</t>
  </si>
  <si>
    <r>
      <rPr>
        <sz val="11"/>
        <rFont val="Arial Narrow"/>
        <family val="2"/>
      </rPr>
      <t xml:space="preserve">El riesgo y sus causas continúan vigentes de acuerdo al contexto? (Ver Columnas F y H):
El riesgo y sus causas continúan siendo vigentes, ya que actualmente se cuenta con el ITM como operador del SDAT (CONVENIO INTERADMINISTRATIVO 619 de 2025), para este trimestre se cuenta con un total de 2,248 hogares beneficiarios del SDAT, realizando los desembolsos de manera permanente y en el marco del cumplimiento de requisitos. Resolución de asignación del SDAT vigencia 2026 N° 123 de 2026. 
</t>
    </r>
    <r>
      <rPr>
        <sz val="11"/>
        <color rgb="FFFF0000"/>
        <rFont val="Arial Narrow"/>
        <family val="2"/>
      </rPr>
      <t xml:space="preserve">
</t>
    </r>
    <r>
      <rPr>
        <sz val="11"/>
        <rFont val="Arial Narrow"/>
        <family val="2"/>
      </rPr>
      <t xml:space="preserve">Se materializó el Riesgo?  (Evento Potencial Principal. Columna F):
No se ha materializado el riesgol, ya que, en este periodo de tiempo, no hemos tenido hallazgos en el proceso de asignación de los subsidios realizados en este trimestre, y estas asignaciones se han realizado en el marco de los procedimientos establecidos, sin superar el valor máximo del SDAT establecido en la resolución N°122 de 2026
</t>
    </r>
    <r>
      <rPr>
        <sz val="11"/>
        <color rgb="FFFF0000"/>
        <rFont val="Arial Narrow"/>
        <family val="2"/>
      </rPr>
      <t xml:space="preserve">
Se materializaron las causas? (Eventos Potenciales Intermedios. Columna H):
No se han materializado los Eventos Potenciales Intermedios, ya que, en este período de tiempo, no hemos recibido por parte del operador ningún informe que dé cuenta de la materialización de dichos eventos.
Los Controles están bien diseñados, se aplican conforme al diseño y son efectivos? (Ver controles en la columna P / Concluir frente a cada control)
Los controles están adecuadamente diseñados y se aplican correctamente, ya que el operador verifica periódicamente el cumplimiento de requisitos, solicita a las familias el certificado de ingresos o certificados laborales, realiza el análisis de cumplimiento y de acuerdo a los resultados, en caso de incumplimiento remite la resolución de terminación al Isvimed, donde se verifican que las resoluciones correspondan al impedimento que le hacen al grupo familiar y que la cancelación concuerde con el informe de notificación, se hacen los trámites respectivos para aprobar las resoluciones y notificar a las familias.
La profesional responsable realizó los estudios previos correspondiente a la contratación del operador del SDAT donde se debe garantizar la idoneidad del personal contratado para la ejecución de las actividades que permiten el correcto pago del SDAT y  desde la supervisión se generan periódicamente reuniones con los equipos.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Desde el proceso de supervisión del contrato con el ITM, se realiza un seguimiento y se implementan las mejoras correspondientes.</t>
    </r>
  </si>
  <si>
    <t>Convenio Operacion SDAT:
https://isvimedgovco.sharepoint.com/:b:/s/8Poblacional/IQC9cTEFXpe2TZfQZQP4oXM2AdV2DfKWB60nKd9nltOjtgc?e=glo5dU
Resolucion Valor del SDAT:
https://isvimedgovco.sharepoint.com/:b:/s/8Poblacional/IQC9cTEFXpe2TZfQZQP4oXM2AdV2DfKWB60nKd9nltOjtgc?e=glo5dU
Resolución asignación SDAT: 
https://isvimedgovco.sharepoint.com/:b:/s/8Poblacional/IQC9cTEFXpe2TZfQZQP4oXM2AdV2DfKWB60nKd9nltOjtgc?e=glo5dU</t>
  </si>
  <si>
    <r>
      <t xml:space="preserve">Convenio Operacion SDAT:
https://isvimedgovco.sharepoint.com/:b:/s/8Poblacional/IQC9cTEFXpe2TZfQZQP4oXM2AdV2DfKWB60nKd9nltOjtgc?e=glo5dU
Resolución asignación SDAT: 
https://isvimedgovco.sharepoint.com/:b:/s/8Poblacional/IQAj0vEvwgV6RoZiHFVmW_tKAZt0tJQZU8LNp_js6kOaXQc?e=PSd8Yd
https://isvimedgovco.sharepoint.com/:b:/s/8Poblacional/IQCyIEGY8OqaRp4YGbcjJWNpARWEuASfNKDTfi6P432Sfcc?e=lutEBc
</t>
    </r>
    <r>
      <rPr>
        <sz val="11"/>
        <color rgb="FFC00000"/>
        <rFont val="Arial Narrow"/>
        <family val="2"/>
      </rPr>
      <t xml:space="preserve">
</t>
    </r>
    <r>
      <rPr>
        <sz val="11"/>
        <rFont val="Arial Narrow"/>
        <family val="2"/>
      </rPr>
      <t>base de datos de familias beneficiadas de SDATa junio:
https://isvimedgovco.sharepoint.com/:x:/s/8Poblacional/IQBXnX9t53WDQar_vvWqf474AUutwOGLPTDpdY1euS3-ooI?e=3P5Vhu</t>
    </r>
    <r>
      <rPr>
        <sz val="11"/>
        <color rgb="FFC00000"/>
        <rFont val="Arial Narrow"/>
        <family val="2"/>
      </rPr>
      <t xml:space="preserve">
</t>
    </r>
    <r>
      <rPr>
        <sz val="11"/>
        <rFont val="Arial Narrow"/>
        <family val="2"/>
      </rPr>
      <t xml:space="preserve">Capacitaciones del semestre I-2026:
https://isvimedgovco.sharepoint.com/:f:/s/8Poblacional/IgDvT3TVpd-HR6F_UWRCPZ7kAYprVcG11i-r-_Vr3VJNsUg?e=hzdyBl
</t>
    </r>
  </si>
  <si>
    <t>1.1. Falta de competencia e idoneidad del personal contratado.</t>
  </si>
  <si>
    <t>1.1.</t>
  </si>
  <si>
    <t>El contratista jurídico de la Subdirección Poblacional revisa que los perfiles del cargo solicitado se incluyan en los estudios previos, así como de la revisión de las hojas de vida en concordancia con dichos perfiles. Para la verificación de idoneidad se utiliza el formato de verificación de idoneidad</t>
  </si>
  <si>
    <t>Estudio previo de cada contrato.
Formato de verificación de idoneidad en el expediente de cada contrato</t>
  </si>
  <si>
    <t>1.2. Falta de conocimiento y aplicación de la normatividad aplicable y de los procedimientos internos relacionados con el Subsidio Distrital de Arrendamiento Temporal.</t>
  </si>
  <si>
    <t>1.2.</t>
  </si>
  <si>
    <t>La supervisión colegiada del contrato del operador del proyecto de arrendamiento temporal, realiza capacitación al inicio del contrato y mínimo una semestral sobre la normatividad aplicable y los procedimientos internos relacionados con el Subsidio Distrital de Arrendamiento Temporal.</t>
  </si>
  <si>
    <t>Registro de asistencia a la capacitación.
Memoria audiovisual de la capacitación.</t>
  </si>
  <si>
    <t>2. Aporte de documentación falsa por parte de los hogares.</t>
  </si>
  <si>
    <t>El profesional encargado del proceso verifica que el jefe de hogar haya firmado el  acta de compromiso y la declaración juramentada donde asegura que la información y documentos suministrados son verídicos.</t>
  </si>
  <si>
    <t>Documento de declaración juramentada y documento de acta de compromiso en carpeta de cada beneficiario</t>
  </si>
  <si>
    <t>GS9</t>
  </si>
  <si>
    <t>Posibilidad de afectación económica y reputacional</t>
  </si>
  <si>
    <t>Por pago indebido del Subsidio Distrital de Arrendamiento Temporal.
Por perdida de oportunidad para disfrutar del Subsidio Distrital de Arrendamiento Temporal a otros hogares que cumplen con los requistos.
Por hallazgos de los entes de control.</t>
  </si>
  <si>
    <t>Debido al desembolso del recurso  sin el cumplimiento de requisitos, durante el tiempo en que este tiene la asignación del subsidio.
Debido a errores en los pagos por parte del operador de arrendamiento temporal (pagos dobles, pagos por valores distintos a los obligados, realización de pagos sin disponibilidad de recursos, etc.)</t>
  </si>
  <si>
    <t>Posibilidad de afectación económica y reputacional reflejada en el pago indebido del Subsidio Distrital de Arrendamiento Temporal, en la pérdida de oportunidad para disfrutar dicho subsidio a otros hogares que cumplen con los requistos y por hallazgos de los entes de control.
Lo anterior, debido al desembolso del recurso  sin el cumplimiento de requisitos, durante el tiempo en que el beneficiario tiene la asignación del subsidio, asi como por errores en los pagos por parte del operador de arrendamiento temporal (pagos dobles, pagos por valores distintos a los obligados, realización de pagos sin disponibilidad de recursos, etc.).</t>
  </si>
  <si>
    <t xml:space="preserve">1. Incumplimiento por parte del beneficiario de actualizar la información que inicialmente proporcionó para otorgar el subsidio.
</t>
  </si>
  <si>
    <t>El acta de compromiso incluye la obligación por parte del beneficiario de informar sobre cualquier cambio en la información que le permitió acceder al subisido.
El Isvimed, cuando se identifican cambios no informados por parte de los beneficiarios sobre las condiciones que le permitieron acceder al subisdio, procede a la terminación del mismo y eventualmente a la solicitud de la devolución del recurso indebidamente pagado.</t>
  </si>
  <si>
    <t>Correctivo</t>
  </si>
  <si>
    <t>Acta de compromiso en carpeta de cada beneficiario del subsidio.
Resolución de terminación del subsidio.</t>
  </si>
  <si>
    <t>El riesgo y sus causas continúan vigentes de acuerdo al contexto? (Ver Columnas F y H):AQ27
El riesgo y sus causas continúan siendo vigentes, ya que actualmente se cuenta con el ITM como operador del SDAT (CONVENIO INTERADMINISTRATIVO 619 de 2025), para este trimestre se cuenta con un total de 2,248 hogares beneficiarios del SDAT, realizando los desembolsos de manera permanente y en el marco del cumplimiento de requisitos. Resolución de asignación del SDAT vigencia 2026 N° 123 de 2026. 
Se materializó el Riesgo?  (Evento Potencial Principal. Columna F):
No se ha materializado el Evento Potencial Principal, ya que en este periodo de tiempo, no hemos tenido hallazgos de entes de control y los pagos de este trimestre, se han realizado en el marco del cumplimiento de requisitos.
Se materializaron las causas? (Eventos Potenciales Intermedios. Columna H):
Se ha materializado parcialmente el Evento Potencial Intermedio N° 1, ya que en el operador reportó los hogares que incumplen con requisitos, y pasó las resoluciones de terminación del SDAT para este trimestre de 8 hogares, actualmente, se está haciendo por parte del equipo del Isvimed el trámite definido para la revisión de las resoluciones y las notificaciones a las familias de las mismas.
Los Controles están bien diseñados, se aplican conforme al diseño y son efectivos? (Ver controles en la columna P / Concluir frente a cada control)
Los controles están adecuadamente diseñados y se aplican correctamente y su concreción esta descrita en los puntos anteriores.
El proceso que debe surtir cuando llega al ISVIMED la resolución por parte del ITM, implica verificar que la resolución este acorde a la notificación de impedimento que le hacen al grupo familiar y que la cancelación concuerde con el informe de notificación, revisión de la calidad y coherencia del escrito, recolección de firmas directivos, solicitud de numeración, citación a notificación, notificación de la familia, realizar la notificación por aviso.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Acciones derivadas de materialización de eventos / fortalecimiento de controles: Ya se cuenta con el procedimiento para abordar estas situaciones dado en el Manual de aplicación del SDAT se hace por parte del equipo del Isvimed el trámite definido para la revisión de las resoluciones de terminación del SDV y la notificación a las familias de las mismas.</t>
  </si>
  <si>
    <t xml:space="preserve">Reporte de terminaciones del SDAT
https://isvimedgovco.sharepoint.com/:x:/s/8Poblacional/IQA2vamscRZSSKtKojPUn0e1ATTBH_NChYxNehyBbVf1x8A?e=r43Qfe
</t>
  </si>
  <si>
    <t xml:space="preserve"> 2. Falta de verificación de requsitos establecidos en la normatividad vigente con respecto al Subsidio Distrital de Arrendamiento Temporal previo a cada pago.</t>
  </si>
  <si>
    <t>2.1.</t>
  </si>
  <si>
    <t>El supervisor del contrato del operador verifica que este haya hecho firmar por parte del beneficiario la carta de compromiso, a través de la cual el hogar se compromete a notificar al Isvimed sobre cualquier cambio en las condiciones iniciales que le permitieron acceder al subsidio.</t>
  </si>
  <si>
    <t>Carta de compromiso firmada por cada beneficiario del subsidio.
Informes de ejecución por parte del operador del proyecto de arrendamiento temporal aprobados por la supervisión colegiada del Isvimed.</t>
  </si>
  <si>
    <t>2.2.</t>
  </si>
  <si>
    <t>El supervisor del contrato del operador verifica que se hayan realizado por parte del mismo, la socialización inicial y socializaciones periódicas de las condiciones para continuar disfrutando del subsidio a los hogares.</t>
  </si>
  <si>
    <t>Informes de ejecución por parte del operador del proyecto de arrendamiento temporal aprobados por la supervisión colegiada del Isvimed.</t>
  </si>
  <si>
    <t>2.3.</t>
  </si>
  <si>
    <t>Los responsables de la verificación de requisitos para el otorgamiento del subsidio, escogen cada mes de manera aleatoria un numero de hogares beneficiados con el subsidio (se revisa la totalidad de la base de datos de beneficiarios durante la vigencia de los subsidios) , y validan el tipo de afiliación a la seguridad social de los integrantes mayores de edad de cada hogar. Esta validación se realiza a través del Sistema de Consulta de la Base de Datos Única de Afiliados del Sistema General de Seguridad Social en Salud (BDUA).
En caso que se identifiquen personas afiliadas al régimen contributivo como cotizantes, esto significa que dichas personas perciben ingresos ya sea a través de un contrato laboral o como independientes. Esta metodología de verificación facilita la identificación de aquellos integrantes del hogar que perciben ingresos para poder establecer el valor total de los mismos. Aquellos hogares con ingresos que no superan los 2 SMMLV, son los que pueden continuar recibiendo del Subsidio Distrital de Arrendamiento Temporal - SDAT. 
El profesional responsable asignado por la Subdirección Poblacional verifica la asignación de subsidios de vivienda por parte de entidades gubernamentales y verifica en catastro los bienes inmuebles a nombre de los beneficiarios con el objetivo de identificar aquellos integrantes del hogar que tienen cruce y no pueden ser beneficiarios del Subsidio Distrital de Arrendamiento Temporal.</t>
  </si>
  <si>
    <t>Informes de ejecución por parte del operador del proyecto de arrendamiento temporal, aprobados por la supervisión colegiada por parte del Isvimed.</t>
  </si>
  <si>
    <t>2.4.</t>
  </si>
  <si>
    <t>La supervisión colegiada del Isvimed verifica que los profesionales sociales y jurídicos del operador realicen de manera aleatoria visitas a los hogares beneficiarios del Subsidio Municipal de Arrendamiento Temporal para identificar que el grupo familiar informado efectivamente habita la vivienda</t>
  </si>
  <si>
    <t>3. Fallas en la revisión de las jornadas de pagos presentadas por el operador.</t>
  </si>
  <si>
    <t>La supervisión financiera verifica que los pagos se encuentren amparados por una resolución de asignación, verifica el valor a pagar, el mes, la cuenta bancaria, la disponibilidad de recursos, la fechas de las prórrogas del contrato, los documentos del Jefe de Hogar y la carpeta.</t>
  </si>
  <si>
    <t>Corrreos de aprobación de la jormada de pagos por parte de la supervisión financiera del contrato con el operador de arrendamiento de temporal</t>
  </si>
  <si>
    <t>GS10</t>
  </si>
  <si>
    <t>Acompañar el 100% de hogares priorizados con solución de vivienda definitiva de la población de riesgo, desastre y/o calamidad para la concurrencia de subsidios y recursos, en el cuatrienio 2024-2027</t>
  </si>
  <si>
    <t xml:space="preserve">Acompañamiento social a población sujeto de reasentamiento por riesgo, desastre y/o calamidad
</t>
  </si>
  <si>
    <t>Posibilidad de afectación reputacional del Instituto</t>
  </si>
  <si>
    <t>reflejada en la existencia de las PQRSD y tutelas por parte de la población afectada derivadas de la falta de atención y acompañamiento para lograr una solución de vivienda definitiva.</t>
  </si>
  <si>
    <t>debido a deficiencias en el acompañamiento social a los hogares priorizados con solución de vivienda definitiva de la población de riesgo, desastre y/o calamidad para la concurrencia de subsidios y recursos.</t>
  </si>
  <si>
    <t>Posibilidad de afectación reputacional del Instituto reflejada en la existencia de las PQRSD y tutelas por parte de la población afectada derivadas de la falta de atención y acompañamiento para lograr una solución de vivienda definitiva. Lo anterior, debido a deficiencias en el acompañamiento social a los hogares priorizados con solución de vivienda definitiva de la población de riesgo, desastre y/o calamidad para la concurrencia de subsidios y recursos.</t>
  </si>
  <si>
    <t>No se cuenta con personal suficiente e  idoneo para el acompañamiento social</t>
  </si>
  <si>
    <t>Media</t>
  </si>
  <si>
    <t>El profesional líder de la línea de acción identifica las necesidades de recursos para cada vigencia y las somete a aprobación por parte de la Subdirección Poblacional, para su posterior inclusión en el presupuesto institucional y en el plan anual de adquisiciones.
El profesional líder de la línea de acción, realiza seguimiento al cumplimiento de la contratación de personal de acuerdo al Plan Anual de Adquisiciones. 
Con relación a la idoneidad del personal, el Subdirector Poblacional en relación con la contratación de personal de prestación de servicios profesionales,  verifica en el Estudio Previo respectivo, que la idoneidad y experiencia requerida sea coherente con las obligaciones contractuales a desarrollar, y procede a firmarlo en consecuencia.
El líder de la línea de acción, para efectos de la suscripción del contrato, verifica la idoneidad del personal a contratar y la certifica a través del certificado de estudio de idoneidad y experiencia para contratos de prestación de servicios personales.
Documentado en: MANUAL DE CONTRATACIÓN</t>
  </si>
  <si>
    <t>Formato de solicitud de necesidades
Plan de Anual de Adquisiciones y evidencias de ejecución
Estudios previos de contratos de prestación de servicios profesionales.
certificado de estudio de idoneidad y experiencia para contratos de prestación de servicios personales.</t>
  </si>
  <si>
    <t>El riesgo y sus causas continúan vigentes de acuerdo al contexto? (Ver Columnas F y H):
Siguen estando vigentes el riesgo y sus causas, ya que se sigue realizando el acompañamiento social a los hogares que se priorizaron como potenciales beneficiarios del SDV realizando cierre financiero, lo que requiere de un muy buen acompañamiento social.
Se materializó el Riesgo?  (Evento Potencial Principal. Columna F):
No se materializa el Evento Potencial Principal porque no se recibe ninguna PQRSD cuyo asunto sea la falta de atención y la deficiencia de acompañamiento social a las familias en el proceso de adjudicación definitiva de vivienda. Es de anotar que en este periodo se hace entrega a dos hogares de Arrendamiento Temporal de la solución definitiva de vivienda nueva. También se recibieron algunas tutelas y PQRSD de hogares solicitando la solución definitiva de vivienda, pero no manifestaron un mal acompañamiento social.
Se materializaron las causas? (Eventos Potenciales Intermedios. Columna H):
No hubo para este periodo materialización de los Eventos Potenciales Intermedios, porque se contó con el personal idóneo de la línea de acompañamiento social a la población de riesgo, desastre o calamidad, que realizó el acompañamiento social a los hogares potenciales los cuales fueron remitidos para la asignación de listas de elegibles un total de 234 hogares y mediante la resolución N° 886 de 2026 se establecieron 102 hogares para el proyecto Verde Agua.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Las descritas en eventos potenciales intermedios.</t>
  </si>
  <si>
    <t xml:space="preserve">
Relación de PQRSD:
https://isvimedgovco.sharepoint.com/:x:/s/8Poblacional/IQDMv60ZLsU5QLRUWrusXDWdAePHydZRgxMg9JtCgfucwYU?e=ANAHW6
Res. lista elegibles Verde Agua:
https://isvimedgovco.sharepoint.com/:b:/s/8Poblacional/IQCRUHI-V8vlR6VYp8VQZwzGAdGWgWTWgIn0yMlYCdzedaw?e=7cZzgM</t>
  </si>
  <si>
    <t xml:space="preserve">
Cuadro de seguimiento a familias priorizadas para solucion definitiva de viivenda de arrendamiento temporal.
https://isvimedgovco.sharepoint.com/:x:/s/8Poblacional/IQBq4xNMOudHT4qvfY0-VGEZAYmoCo4R2-VC6DN8rO5nBPI?e=1XlBOU
Algunas evidencias de las asesorias realizadas en este trimestre a las personas priorizadas  para solucion definitiva de vivienda.
Abril
https://isvimedgovco.sharepoint.com/:x:/s/8Poblacional-10.Riesgosydesastres/IQDP-IlGZAv2RrzgyWlny81yAbqkXDnVNsmsxPp57-w-UxQ?e=ldST52
Mayo
https://isvimedgovco.sharepoint.com/:x:/s/8Poblacional-10.Riesgosydesastres/IQDIAQPZUH7_TamzcIcxoP_pAWl8TL-MdT-H2P3yaoAS3ZU?e=mip5B1
Junio
https://isvimedgovco.sharepoint.com/:x:/s/8Poblacional-10.Riesgosydesastres/IQCcSTiuZ-tyR4vhPdhQihO_ATU8GE6a6GBNtTvqswsGOaA?e=fz9Tjz
</t>
  </si>
  <si>
    <t>Los hogares priorizados no hacen parte de una estrategia para el acompañamiento social a este tipo de población y con orientación a que las familias logren el cierre financiero para la solución definitiva de vivienda.</t>
  </si>
  <si>
    <t>El profesional lider de la linea de acción, verifica que los hogares priorizados participen en la estrategia de acompañamiento social.</t>
  </si>
  <si>
    <t>Listados de asistencia de las actividades propuestas en la estrategia de acompañamiento social.
Registro Fotográfico.</t>
  </si>
  <si>
    <t>No existe un adecuado control sobre las actividades de acompañamiento social en los hogares priorizados (puede abarcar las actividades de la estrategia y otras actividades propias del acompañamiento social a esta población).</t>
  </si>
  <si>
    <t>El profesional lider de la linea de acción verifica el nivel de paticipación de los hogares priorizados en las diferentes actividades progrmadas (tanto a nivel de estrategia como propias de acompañamiento social de la linea de acción), para lo cual se utiliza el cuadro de seguimiento de actividades de acompañamiento social.</t>
  </si>
  <si>
    <t>cuadro de seguimiento de actividades de acompañamiento social a hogares priorizados para solución definitiva de vivienda de la población sujeto de reasentamiento por riesgo, desastre y/o calamidad</t>
  </si>
  <si>
    <t>GS14</t>
  </si>
  <si>
    <t>Acompañamiento social a población sujeto de reasentamiento por riesgo, desastre y/o calamidad.
(Arrendamiento temporal)</t>
  </si>
  <si>
    <t>Posiblidad de afectación reputacional del Instituto</t>
  </si>
  <si>
    <t>por no garantizar una vivienda digna y segura a los hogares con contrato de arrendamiento temporal.
Eventos catastróficos relacionados con la ubicación del predio en zonas no aptas.
PQRSD con relación al mal estado de inmuebles viabilizados para la aplicación de subsidios</t>
  </si>
  <si>
    <t>debido a que no se realice una adecuada revisión técnica y jurídica del inmueble donde se aplicará el SDAT de acuerdo a lo establecido en la normatividad aplicable y el manual para la aplicación del SDAT.</t>
  </si>
  <si>
    <t>Posiblidad de afectación reputacional del Instituto por:
* no garantizar una vivienda digna y segura a los hogares con contrato de arrendamiento temporal.
* Eventos catastróficos relacionados con la ubicación del predio en zonas no aptas.
* PQRSD con relación al mal estado de inmuebles viabilizados para la aplicación de subsidios.
Lo anterior, debido a que no se realice una adecuada revisión técnica y jurídica del inmueble donde se aplicará el SDAT de acuerdo a lo establecido en la normatividad aplicable y el manual para la aplicación del SDAT.</t>
  </si>
  <si>
    <t>Falta de idoneidad del personal que realiza la revisión técnica y jurídica de los inmuebles en donde se aplicará el subsidio.</t>
  </si>
  <si>
    <t>Mayor</t>
  </si>
  <si>
    <t>El operador de arrendamiento temporal, debe garantizar la selección de perfiles requeridos para la realización de la revisión técnica y jurídica de los inmuebles.
El supervisor del contrato del operador verifica el cumplimiento de los perfiles contratados para el desarrollo de estas actividades.</t>
  </si>
  <si>
    <t>manual</t>
  </si>
  <si>
    <t>Minuta de los contratos de prestación de servicios que desarrollan estas actividades.
Informe de supervisión.</t>
  </si>
  <si>
    <t xml:space="preserve">El riesgo y sus causas continúan vigentes de acuerdo al contexto? (Ver Columnas F y H):
El riesgo y sus causas continúan siendo vigentes, ya que actualmente se cuenta con el ITM como operador, y con el equipo técnico idóneo realizando las visitas técnicas de las viviendas a arrendar para los hogares beneficiarios del SDAT.
Se materializó el Riesgo?  (Evento Potencial Principal. Columna F):
No se ha materializado el Evento Potencial Principal, ya que no hemos tenido ninguna PQRSD cuyo asunto sea el mal estado de los inmuebles en este trimestre y se ha garantizado una vivienda digna a los hogares de arrendamiento temporal.
Se materializaron las causas? (Eventos Potenciales Intermedios. Columna H):
No se han materializado los Eventos Potenciales Intermedios, ya que en este periodo de tiempo, se ha garantizado una vivienda digna a los hogares de arrendamiento temporal a los hogares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La realización de visitas técnicas con equipo idóneo para tal efecto. </t>
  </si>
  <si>
    <t xml:space="preserve">Relacion Visitas Tecnicas SDAT 
https://isvimedgovco.sharepoint.com/:f:/s/8Poblacional/IgBxUfoJw_OzRpv9spAmgTxBAfvJSgTFrlp_swsXZ1qffqI?e=ghZ2MW
VIISTAS TECNICAS 
https://isvimedgovco.sharepoint.com/:f:/s/8Poblacional/IgBxUfoJw_OzRpv9spAmgTxBAfvJSgTFrlp_swsXZ1qffqI?e=ghZ2MW
Convenio Operacion SDAT:
https://isvimedgovco.sharepoint.com/:b:/s/8Poblacional/IQC9cTEFXpe2TZfQZQP4oXM2AdV2DfKWB60nKd9nltOjtgc?e=glo5dU
</t>
  </si>
  <si>
    <t>Se materializó el Riesgo?  (Ver evento potencial principal en Columna F. Relacionar detalles de la materialización - que, como, cuando, donde):
No se ha materializado el Riesgo, ya que no hemos tenido ninguna PQRSD cuyo asunto sea el mal estado de los inmuebles en este trimestre y se ha garantizado una vivienda digna a los hogares de arrendamiento temporal. Actualmente se cuenta con el ITM como operador, y con el equipo técnico idóneo realizando las visitas técnicas de las viviendas a arrendar para los hogares beneficiarios del SDAT.
Los Controles están bien  diseñados, se aplican de acuerdo al diseño  y son efectivos? (Ver controles en la columna P / Concluir frente a cada control)
1. El operador de arrendamiento temporal, garantizó y verificó el cumplimiento de los perfiles contratados para el desarrollo de estas actividades.
2. Desde la supervisión del contrato para operación de arrendamiento temporal, se socializa el manual para la aplicación del SDAT y formatos asociados a las actividades de verificación técnica y jurídicas de los inmuebles y se validó el cumplimiento de las actividades de verificación técnica y jurídica de los inmuebles a través de los informes ejecución persentados por el operador.
3. Los cambios de vivienda obedecen fundamentalmente a asuntos de convivencia o cambios en la composición sociofamiliar.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Aplicación de la verificación técnica y jurídica del inmuebles de manera adecuada.</t>
  </si>
  <si>
    <t>Visitas tecnicas abril
https://itmeduco.sharepoint.com/sites/VINCULACIONES/Documentos%20compartidos/Forms/AllItems.aspx?e=5%3A407457f4f4b84033a58a605b727d667e&amp;sharingv2=true&amp;fromShare=true&amp;at=9&amp;CID=fa2d95a4%2D9fab%2D4ae1%2Db3ff%2Da0f0849f72c3&amp;FolderCTID=0x0120009D106C387FCDBC4B9A9ED2AB1DD4F841&amp;id=%2Fsites%2FVINCULACIONES%2FDocumentos%20compartidos%2FVinculaci%C3%B3n%202026%2FInformes%20De%20Gesti%C3%B3n%2FABRIL%202026%2FOBLIGACION%20C26%5FVISITAS%20TECNICAS
Visitas tecnicas mayo
https://itmeduco.sharepoint.com/sites/VINCULACIONES/Documentos%20compartidos/Forms/AllItems.aspx?e=5%3A5b27fa7f766e4ba5a2c3b35bba423fde&amp;sharingv2=true&amp;fromShare=true&amp;at=9&amp;CID=94d56c2d%2D08c4%2D41f8%2Da312%2D3d8b12d7b35b&amp;FolderCTID=0x0120009D106C387FCDBC4B9A9ED2AB1DD4F841&amp;id=%2Fsites%2FVINCULACIONES%2FDocumentos%20compartidos%2FVinculaci%C3%B3n%202026%2FInformes%20De%20Gesti%C3%B3n%2FMAYO%202026%2FOBLIGACION%20C26%5FVISITAS%20TECNICAS
Visitas tecnicas junio
https://itmeduco.sharepoint.com/sites/VINCULACIONES/Documentos%20compartidos/Forms/AllItems.aspx?e=5%3A3f0eb605d3c84761b4804de0ae7b77b1&amp;sharingv2=true&amp;fromShare=true&amp;at=9&amp;CID=52e41dfc%2D92ce%2D47e6%2D85d8%2D227b6d5ce015&amp;FolderCTID=0x0120009D106C387FCDBC4B9A9ED2AB1DD4F841&amp;id=%2Fsites%2FVINCULACIONES%2FDocumentos%20compartidos%2FVinculaci%C3%B3n%202026%2FInformes%20De%20Gesti%C3%B3n%2FJUNIO%202026%2FOBLIGACION%20C26%5FVISITAS%20TECNICAS</t>
  </si>
  <si>
    <t>Falta de aplicación de los establecido en el  manual para la aplicación del SDAT y los formatos establecidos para ello.</t>
  </si>
  <si>
    <t>Desde la supervisión del contrato para operación de arrendamiento temporal, se socializa el manual para la aplicación del SDAT y formatos asociados a las actividades de verificación técnica y jurídicas de los inmuebles.
El supervisor del contrato del operador valida el cumplimiento de las actividades de verificación técnica y jurídica de los inmuebles a través de los informes ejecución persentados por el operador.</t>
  </si>
  <si>
    <t>Registros de asistencia de socialización del manual para la aplicación del SDAT.
Informe de ejecución de actividades del Operador
Informe de Supervisión.</t>
  </si>
  <si>
    <t>En el caso de materialización del riesgo, se gestiona la autorización de cambio de vivienda para el beneficiario del SDAT.</t>
  </si>
  <si>
    <t xml:space="preserve">Informe de Visita Técnica
Notificación al hogar para el cambio de vivienda
</t>
  </si>
  <si>
    <t>GS11</t>
  </si>
  <si>
    <t>Lograr el 100% de cumplimiento en el Plan de Acción Sociambiental en Obra - PASAO de cada proyecto habitacional</t>
  </si>
  <si>
    <t>Acompañamiento social a vivienda nueva</t>
  </si>
  <si>
    <t>Afectación reputacional del Instituto</t>
  </si>
  <si>
    <t>Por posibles demandas por parte de la comunidad por falta de información de los proyectos a ejecutar
Por quejas por parte del desarrollador por retrasos en el inicio de la obras</t>
  </si>
  <si>
    <t>Debido al incumplimiento del acompañamiento social en obra establecido en la Guía de Manejo Socioambiental Distrital.</t>
  </si>
  <si>
    <t>Posibilidad de afectación reputacional del Instituto reflejada en posibles demandas por parte de la comunidad por falta de información de los proyectos a ejecutar, así como por quejas por parte del desarrollador por retrasos en el inicio de la obras, debido al incumplimiento del acompañamiento social en obra establecido en la Guía de Manejo Socioambiental Distrital.</t>
  </si>
  <si>
    <t>Muy Baja</t>
  </si>
  <si>
    <t>El supervisor técnico de la Subdirección de Planeación revisa las obligaciones contractuales por parte del Isvimed con el desarrollador en relación al acompañamiento social para identificar el grado de ejecución.</t>
  </si>
  <si>
    <t>Informe de supervisión</t>
  </si>
  <si>
    <t>El riesgo y sus causas continúan vigentes de acuerdo al contexto? (Ver Columnas F y H):
El riesgo y sus causas continúan vigentes, ya que para el período de este seguimiento, desde el Isvimed y por ende desde la línea de acompañamiento social a de vivienda nueva, se hace acompañamiento social en el marco de la guía de manejo socioambiental y del manual de acompañamiento social en obra, en los siguientes proyectos: Brezze
Se materializó el Riesgo?  (Evento Potencial Principal. Columna F):
No se materializa el Evento Potencial Principal, ya que no se han dado demandas de la comunidad, ni quejas de los desarrolladores por el acompañamiento social realizado en obra, se lideró y/o participó en los Comités Ciudadanos de Obra -CCO- en los proyectos en ejecución, y se participó en el análisis de las condiciones fisicoespaciales y socioeconómicas de los proyectos de estudios y diseño.
Se materializaron las causas? (Eventos Potenciales Intermedios. Columna H):
No se materializan los Eventos Potenciales Intermedios, ya que se cuenta con dos profesionales que realizan el acompañamiento social en obra, desde las dos etapas en que se encuentra los proyectos habitacionales, en el marco del manual de acompañamiento social en obra.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N.A.
N.A.
Que acciones propones o se están llevando a cabo para fortalecer los controles? (Revisa también si se establecieron acciones en la columna AJ)
Continuar con el acompañamiento integral a los hogares.</t>
  </si>
  <si>
    <t xml:space="preserve">Realización Comité Ciudadano de obra proyecto Brezze
05022026 Comité de obra py Brezze.pdf
12022026 Comité de obra py Brezze.pdf
19022026 Comite de obra py Brezze.pdf
ACTA DE REUNION CCO # 3_BREZZE_febrero 2026.pdf
</t>
  </si>
  <si>
    <t xml:space="preserve">Se desarrollaron 1 Comité de Obra y un Comité Ciudadano de Obra del proyecto habitacional Brezze -Abril-
Enlaces de la evidencia:
https://isvimedgovco.sharepoint.com/:b:/s/8Poblacional-11.Viviendanueva/IQDW_F2AmE6nQ4xyu3fP-XqDAR9wbQuqSBXJxfLctusnL74?e=rJsIyC
https://isvimedgovco.sharepoint.com/:b:/s/8Poblacional-11.Viviendanueva/IQBNCSQyT1E_Q7coxVzqYX9FASPwroD1vsgsCxqxnQ7Ok4I?e=5NE7wG
Enlaces de la evidencia de los Comités de Obra realizado evidencia: mayo
https://isvimedgovco.sharepoint.com/:b:/s/8Poblacional-11.Viviendanueva/IQCUizkP_FjmR4pTeg0LQgxLARXnrsKqddIWtBW3SgbKkuM?e=gwvyaW
https://isvimedgovco.sharepoint.com/:b:/s/8Poblacional-11.Viviendanueva/IQAAn3pSieEpQLipLTRpnVvRAdiIs5BDrs4f8xCDCG5Tq0s?e=ZETLk4
https://isvimedgovco.sharepoint.com/:b:/s/8Poblacional-11.Viviendanueva/IQCmd1RHumfeT7F916M9TzhNAZ29zWsNzmshqbSyWwSr8LI?e=sRRLqf
https://isvimedgovco.sharepoint.com/:b:/s/8Poblacional-11.Viviendanueva/IQB3jY3ID5OuQYQUATXFAqFrASsjf0FZPf3rV_zGjQus_S8?e=q19aUn
Junio
https://isvimedgovco.sharepoint.com/:b:/s/8Poblacional-11.Viviendanueva/IQARZscIbFV3QLGUTgHYyCQfAYcWsuCms9FUVTTbAPNRRTY?e=lXBxoh
https://isvimedgovco.sharepoint.com/:b:/s/8Poblacional-11.Viviendanueva/IQAIc2rsMjI3Rry5Eg1DXW_2AZ2rMzYXyH7UIKdxqlmYiUg?e=qfujcO
https://isvimedgovco.sharepoint.com/:b:/s/8Poblacional-11.Viviendanueva/IQDhHUsMVpIVQrbnnP0_QVieAZpaD7P0YMr3RjHQBid-FrQ?e=G7IUI2
https://isvimedgovco.sharepoint.com/:b:/s/8Poblacional-11.Viviendanueva/IQB_vT8CWLf8SpwOZvEw2yEuAcXG6IBGuu1m6Rz1zlfi0YQ?e=SbXaar
</t>
  </si>
  <si>
    <t>1. Falta de contratación de personal (No hay personal en la línea de acompañamiento social en obra).</t>
  </si>
  <si>
    <r>
      <t>El profesional líder de la línea de acompañamiento social en obra, en los términos establecidos para consolidar el Plan Anual de Adquisiciones, identifica y somete a aprobación de la Subdirección Poblacional, los recursos humanos necesarios para el acompañamiento social de acuerdo a los proyectos habitacionales a desarrollar en la vigencia.</t>
    </r>
    <r>
      <rPr>
        <sz val="11"/>
        <color indexed="8"/>
        <rFont val="Arial Narrow"/>
        <family val="2"/>
      </rPr>
      <t xml:space="preserve"> Este profesional revisa que la contratación se realice en los tiempos establecidos</t>
    </r>
  </si>
  <si>
    <t>Plan Anual de Adquisiciones
Actas de equipo primario</t>
  </si>
  <si>
    <t>2. Falta de lineamientos internos para el cumplimiento de la Guía de Manejo Socioambiental Distrital.</t>
  </si>
  <si>
    <t>El profesional social asignado verifica el cumplimiento de las actividades planteadas en la Guía de Manejo Socioambiental Distrital y el manual de acompañamiento social en obra.
Documentado en: M-GS-02_MANUAL_DE_ACOMPANAMIENTO_SOCIAL_EN_OBRA.</t>
  </si>
  <si>
    <t>Correo electrónico de aprobación o rechazo de los requisitos de acompañamiento social en obra.</t>
  </si>
  <si>
    <t>GS16</t>
  </si>
  <si>
    <t>Lograr un 50% de inscripciones viables al SDV en la modalidad de demanda libre y demanda organizada con relación al total de hogares inscritos en cada semestre.</t>
  </si>
  <si>
    <t>Reflejada en:
* PQRSD por parte de la comunidad
*  incumplimiento de los indicadores de asignación del SDV.</t>
  </si>
  <si>
    <t>Debido a que menos del 50% de los hogares que se inscriben al SDV en la modalidad de demanda libre y demanda organizada cumplen con los requisitos para la asignación del mismo.</t>
  </si>
  <si>
    <t>Posiblidad de afectación reputacional del Instituto reflelada en  PQRSD por parte de la comunidad, así como por incumplimiento de los indicadores de asignación del SDV, debido a que menos del 50% de los hogares que se inscriben al SDV en la modalidad de demanda libre y demanda organizada cumplen con los requisitos para la asignación del mismo.</t>
  </si>
  <si>
    <t>No existe oferta inmobiliaria.</t>
  </si>
  <si>
    <t>La profesional encargada de la linea de acompañamiento social a vivienda nueva, promueve con las constructoras y desarrolladores la oferta institucional del SDV para que haga parte del cierre financiero de los hogares.
La profesional encargada de la linea de acompañamiento social a vivienda nueva valida que la constructura envíe la documentación para dar viabilidad técnica al proyecto.</t>
  </si>
  <si>
    <t>Acta de reunión y registro de asistencia con Constructoras
Correos electrónicos con la documntación para dar viabilidad técnica al proyecto.</t>
  </si>
  <si>
    <t xml:space="preserve">
El riesgo y sus causas continúan vigentes de acuerdo al contexto? (Ver Columnas F y H):
El riesgo y sus causas siguen vigentes, ya que se da inicio al ciclo ocho de formación del Semillero Vivienda un Proyecto Familiar con dos espacios, uno presencial y otro virtual del momento cero.
Se materializó el Riesgo?  (Evento Potencial Principal. Columna F):
Para este periodo no se ha materializado el Evento Potencial Principal, porque el parámetro de medición es semestral, además se da inicio al ciclo ocho de formación del Semillero Vivienda un Proyecto Familiar con dos espacios, uno presencial y otro virtual del momento cero en el mes de febrero y para el mes de marzo se realizaron siete talleres más para un total del trimestre de nueve talleres.
Se materializaron las causas? (Eventos Potenciales Intermedios. Columna H):
No se han materializado los Eventos Potenciales Intermedios dado que en el primer mes se asignaron los subsidios de los hogares que se encontraban inscritos bajo la estrategia compra tu casa y actualmente ya se cuenta con el ajuste en el recurso para retomar esta estrategia, las mismo los hogares que han incumplido los requisitos no han sido asignados con el SDV.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Se ha realizado acompañamiento a las familias, socialización a la ciudadanía, de la oferta habitacional y se inició con los talleres del semillero Vivienda un Proyecto Familiar.</t>
  </si>
  <si>
    <t xml:space="preserve">Actividades Externas Enero
https://isvimedgovco.sharepoint.com/:x:/s/8Poblacional/IQAv-t7kxF64TbTAykUEYDv5ASD_8yC6zgHhZ3GhEYFnHQg?e=gqJxWt
Actividades Externas Febrero
https://isvimedgovco.sharepoint.com/:x:/s/8Poblacional/IQDrjuQXWo49S7KrXYSKtVjsAeuQ5Qpmjq88jfI97KqudeQ?e=QhHVLK
Actividades Externas Marzo
https://isvimedgovco.sharepoint.com/:x:/s/8Poblacional/IQAlKYdALz_OTqPEqeG57anmAVqC6QAthsSPQU3SDYdiVJ0?e=S3pylA
</t>
  </si>
  <si>
    <t>Acompanamiento social vivienda nueva abril
https://isvimedgovco.sharepoint.com/:x:/s/8Poblacional/IQAfwGhkWuqKQJkAdrrqrtxhAUmYB2Cu_QJVMcPmTWNImJc?e=ScTTxM
Acompa;amiento social vivienda nueva mayo
https://isvimedgovco.sharepoint.com/:x:/s/8Poblacional/IQC_wrXIU_SmS7WFKQ3openTAZQtQwsZURsMYwZXuW3jskU?e=6pz0Zq
Acompanamiento social vivienda nueva junio
https://isvimedgovco.sharepoint.com/:x:/s/8Poblacional/IQBXvZ9Z4EswSoefJcDtNpKBAcEeuy0QaCKKNrl8bEyAMnI?e=0ANg8J</t>
  </si>
  <si>
    <t>Falta de capacidad de los hogares para cubrir la cuota inicial.
Los hogares no tienen capacidad de endeudamiento.</t>
  </si>
  <si>
    <t xml:space="preserve">La profesional encargada de la linea de acompañamiento social a vivienda nueva remite los hogares a la estrategia "Vivienda un proyecto familiar" la cual consiste en asesorar a los hogares para que aumenten su capacidad de ahorro y puedan cubrir la cuota inicial.
La profesional encargada de la linea de acompañamiento social a vivienda nueva verifica la efectividad de la estrategia "Vivienda un proyecto familiar", a través de aquellos hogares que se incriben en la estrategia "Compra tu casa".
Documentado en: GU-GS-07 - GUÍA PARA EL DESARROLLO DE LA ESTRATEGIA “VIVIENDA, UN PROYECTO FAMILIAR” y resolución estrategia "Compra tu casa" </t>
  </si>
  <si>
    <t>Formularios de inscripción a las estraegias por parte de los hogares</t>
  </si>
  <si>
    <t>GS17</t>
  </si>
  <si>
    <t>Lograr la postulación al SDV en la modalidad de vivienda nueva y usada para el 90% de los hogares remitidos por cada linea de acción, en cada vigencia.</t>
  </si>
  <si>
    <t>Postulaciones y Entregas</t>
  </si>
  <si>
    <t>Posibilidad de afectación reputacional y económica del Instituto</t>
  </si>
  <si>
    <t>reflejada en
- PQRSD por parte de los hogares postulados.
- Requermientos por parte de líderes comunales, el distrito de Medellín o el Concejo.
- Hallazgos de entes de control.
- Traslados de rubros, ajustes en el presupuesto.
*  incumplimiento de los indicadores de asignación del SDV.</t>
  </si>
  <si>
    <t xml:space="preserve">debido a que Menos del 90% de los hogares remitidos por cada linea de acción, logran la postulación al SDV en la modalidad e vivienda nueva y usada. </t>
  </si>
  <si>
    <t>Posibilidad de afectación reputacional y económica del Instituto, reflejada en PQRSD por parte de los hogares postulados, requermientos por parte de líderes comunales, el distrito de Medellín o el Concejo, hallazgos de entes de control y traslados de rubros, ajustes en el presupuesto, así como por   incumplimiento de los indicadores de asignación del SDV. Lo anterior, debido a que Menos del 90% de los hogares remitidos por cada linea de acción, logran la postulación al SDV en la modalidad e vivienda nueva y usada.</t>
  </si>
  <si>
    <t xml:space="preserve">1. Cambios no planificados relacionados con la disponiblidad de recursos para la aignación del SDV. </t>
  </si>
  <si>
    <t>El profesional lider de la linea de Postulaciones y Entregas reduce y ajusta la meta relacionada con las postulaciones al SDV. En el caso de convocatoria pública para postulación de demanda libre y/o organizada se deben ajustar los actos administrativos que hayan lugar de acuerdo a la nueva estrategia de convocatoria.
Documentado en: Decreto vigente de asignación del SDV</t>
  </si>
  <si>
    <t xml:space="preserve">Correos electrónicos con instrucciones de ajuste a metas de postulaciones.
Resolución de apertura y postulación.
Formularios de postulación de estrategias de demanda libre / organizada.
Resoluciones de asignación y notificación de SDV
Expediente del hogar benficiado con el SDV
</t>
  </si>
  <si>
    <t>El riesgo y sus causas continúan vigentes de acuerdo al contexto? (Ver Columnas F y H):
Sigue vigente el riesgo y sus causas, ya que desde esta línea se sigue haciendo la postulación y entrega de población de demanda libre, reasentado por riesgo y por obra pública a vivienda nueva y usada. Para este periodo se entregaron 66 viviendas nuevas a población de riesgo (2), demanda libre (64) y (2) viviendas usadas para población de obra pública. 
Se materializó el Riesgo?  (Evento Potencial Principal. Columna F):
No se materializa el Evento Potencial Principal y sus Causas ya que no se han recibido PQRS, ni hallazgos por entes de control ni requerimientos del Concejo de Medellin en este caso.
Se materializaron las causas? (Eventos Potenciales Intermedios. Columna H):
No se materializan los Eventos Potenciales Intermedios, ya que las postulaciones y entregas se han realizado en el marco de lo definido legalmente, y los cierres financieros se han realizado con la sumatoria de varios subsidios de vivienda de diferentes entidades.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t>
  </si>
  <si>
    <t xml:space="preserve">REPORTE VIVIENDAS ENTREGADAS ENERO
https://isvimedgovco.sharepoint.com/:x:/s/8Poblacional/IQAqc-_pMbiaQaLyzuKbuXVhAZxJNvZ0mUfy1QXIUEh8GZo?e=Cqh7K5
REPORTE VIVIENDAS ENTREGADAS FEBRERO
https://isvimedgovco.sharepoint.com/:x:/s/8Poblacional/IQD-DuDdd3DeTK2bgvoQKxQLAYvXDt07xt2j3kBbwE1HnKI?e=c6CcRx
REPORTE VIVIENDAS ENTREGADAS MARZO
https://isvimedgovco.sharepoint.com/:x:/s/8Poblacional/IQABXfQit15HSZJLBfJs9Vm7ATx0UNir40TdaeddCri4qyE?e=RYbQYh
</t>
  </si>
  <si>
    <t>Memorandos de remisiones a  la Subdirección Juridica de expedientes dpara la asignación del SDV:
N° 141, 148, 149, 152, 158, 172, 180, 181, 190, 213 y 214 de 2026 .</t>
  </si>
  <si>
    <t>2. Errores en la revisión técnica y jurídica por parte de la líneas de acción que remiten los hogares para la postulación al SDV</t>
  </si>
  <si>
    <t xml:space="preserve">El profesional lider de la linea de Postulaciones y Entregas devuelve el expediente del hogar l lider de la línea de acción que lo remitió, con las observaciones que se deben subsanar. </t>
  </si>
  <si>
    <t>Correo electrónico o memorando de devolución del expediente.</t>
  </si>
  <si>
    <t>3. Cambios surgidos con posterioridad a la remisión para la postulación, relacionados con la normatividad vigente para la concurrencia de subsidios con otras entidades.</t>
  </si>
  <si>
    <t>El profesional lider de la linea de Postulaciones y Entregas analiza cada postulación para calcular los ajustes económicos relacionados con el cierre financiero. En el caso de que el hogar no logre el cierre financiero se debe anular la postulación y notiifcar al hogar postulante.</t>
  </si>
  <si>
    <t>Correo electrónico de notificación sobre la no continuidad en el proceso de postulación</t>
  </si>
  <si>
    <t>GS19</t>
  </si>
  <si>
    <t>Lograr en cada vigencia, que el 100% de las  viviendas remitidas por la Subdirección de Dotación de Vivienda y Habitat sean entregadas en las fechas programadas y en cumplimiento de los requisitos técnicos y jurídicos establecidos en la normatividad vigente y los procedimientos internos del Instituto.</t>
  </si>
  <si>
    <t>Posiblidad de afectación reputacional y económica del Instituto</t>
  </si>
  <si>
    <t>reflejada en
- PQRSD por parte de los hogares beneficiarios del SDV.
- Requerimientos por parte del distrito de Medellín o el Concejo.
- Hallazgos de entes de control.
- Un mayor tiempo de desembolso de recursos para el pago del arrendamiento temporal (población sujeto de reasentamiento por riesgo, desastre y/o calamidad).
- Un mayor valor del SDV que debe ser entregado a los hogares beneficiarios.</t>
  </si>
  <si>
    <t xml:space="preserve">Debido a que no se cumple con la entrega de la totalidad de las viviendas remitidas por la Subdirección de Dotación de Vivienda y Habitat de manera oportuna y en cumplimiento de los requisitos establecidos. </t>
  </si>
  <si>
    <t>Posiblidad de afectación reputacional y económica del Instituto, reflejada en PQRSD por parte de los hogares beneficiarios del SDV, requerimientos por parte del distrito de Medellín o el Concejo, hallazgos de entes de control, un mayor tiempo de desembolso de recursos para el pago del arrendamiento temporal (población sujeto de reasentamiento por riesgo, desastre y/o calamidad), asi como un mayor valor del SDV que debe ser entregado a los hogares beneficiarios. Lo anterior, debido a que no se cumple con la entrega de la totalidad de las viviendas remitidas por la Subdirección de Dotación de Vivienda y Habitat de manera oportuna y en cumplimiento de los requisitos establecidos</t>
  </si>
  <si>
    <t>Demoras en los trámites de escrituración de la viviendas a entregar</t>
  </si>
  <si>
    <t xml:space="preserve">La mesa de seguimiento de escrituración verifica el estado de cada trámite con el propósito de realizar las entregas en los tiempos programados. En el caso de inconvenientes se establecen estrategias con notarias y la oficina de registros públicas para dar celeridad a los procesos. </t>
  </si>
  <si>
    <t>Acta de reunión mesa de seguimiento escrituración</t>
  </si>
  <si>
    <t xml:space="preserve">
El riesgo y sus causas continúan vigentes de acuerdo al contexto? (Ver Columnas F y H):
Sigue vigente el riesgo y sus causas, ya que desde esta línea sigue haciendo la postulación y entrega de población de demanda libre, reasentado por riesgo y por obra pública a vivienda nueva y usada.
Se materializó el Riesgo?  (Evento Potencial Principal. Columna F):
No se materializa el Evento Potencial Principal y sus Causas ya que no se han recibido PQRS, ni hallazgos por entes de control ni requerimientos del Concejo de Medellin en este caso.
Se materializaron las causas? (Eventos Potenciales Intermedios. Columna H):
No se materializan los Eventos Potenciales Intermedios, ya que las postulaciones y entregas se han realizado en el marco de lo definido legalmente, y los cierres financieros se han realizado con la sumatoria de varios subsidios de vivienda de diferentes entidades. Ya que técnicamente se cumplió con el proceso.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t>
  </si>
  <si>
    <t>VIVIENDAS ENTREGAS EN ABRIL
https://isvimedgovco.sharepoint.com/:x:/s/8Poblacional/IQAyeUAgeL4rQYftYnWWoSoZAaejqAxePsiABsHW6DSNDNM?e=bt5bkh
VIVIENDAS ENTREGADAS EN MAYO
https://isvimedgovco.sharepoint.com/:x:/s/8Poblacional/IQDt1fVXbj-aTbhKzJHn2VBJATck1SBYb2Z1k-dmdeBr8hE?e=jbfFjT
VIVENDAS ENTREGAS EN JUNIO
https://isvimedgovco.sharepoint.com/:x:/s/8Poblacional/IQDx63Pyf_RBRrygIWlfzdqjAcAtJCBrETAQS2adj6ZC6jk?e=cYI8HA</t>
  </si>
  <si>
    <t>Cambios en la situación jurídica de los hogares que imposibilitan escriturar y entregar el inmueble</t>
  </si>
  <si>
    <t xml:space="preserve">En el caso de cambio de estado civil del Jefe de hogar se remité el caso a la Subdirección Jurídica para el análisis de la situación con miras a definir como ajustar el proceso de escrituración y entrega.  
En el caso de fallecimiento del Jefe de Hogar se remité el caso a la Subdirección Jurídica para que se realice el acto administrativo correspondiente para el cambio de Jefe de Hogar .
En el caso de incumplimiento del cierre financiero del jefe de hogar o renuncia al SDV,  el caso se remite a la Subdirección Jurídica para gestionar el acto administrativo que corresponda. </t>
  </si>
  <si>
    <t>Correos Electrónicos de consulta a la Subdirección Dirección.
Actos administrativos para cambio de Jefe de Hogar, renuncia al SDV, revocatoria al SDV</t>
  </si>
  <si>
    <t>Fallas en la logística para la entrega de los inmuebles (evento, firmas de documentos para la entrega, impresión de documentos, convocatoria hogares, entre otros)</t>
  </si>
  <si>
    <t>El profesional lider de la linea de Postulaciones y Entregas valida la logística necesaria de acuerdo a lo establecido en el procedimiento para entrega de vivienda nueva, P-GS-03. 
Asi mismo realiza capacitación al equipo que apoya la entrega de vivienda en cuanto al orden del día, los documentos a entregar al hogar con sus respectivas firmas, cronograma del evento, roles, protocolos, entre otros.</t>
  </si>
  <si>
    <t>Registros que se relacionan en el procedimiento para entrega de vivienda nueva, P-GS-03.
Listado de asistencia de capacitación para la entrega de vivienda.</t>
  </si>
  <si>
    <t>No realizar el sorteo de nomenclatura de acuerdo a lo establecido en el instructivo institucional</t>
  </si>
  <si>
    <t>El profesional lider de la linea de Postulaciones y Entregas valida que el sorteo se realice de acuerdo a lo establecido en el INSTRUCTIVO PARA SORTEO DE NOMENCLATURA PROYECTOS INSTITUCIONALES, para lo cual elabora la ficha metodológica del mismo.</t>
  </si>
  <si>
    <t>Ficha metodológica del sorteo de nomenclatura
Registros relacionados en el INSTRUCTIVO PARA SORTEO DE NOMENCLATURA PROYECTOS INSTITUCIONALES</t>
  </si>
  <si>
    <t>GS15</t>
  </si>
  <si>
    <t>Lograr que el 100% de los hogares remitidos para el proceso de reasentamiento cuenten con vivenda de reposición identificada y en cumplimiento de los siguientes criterios:  intereses del beneficiario, viabilidad jurídica y técnica, y que el avaluo no supere los 90 SMMLV. Lo anterior, durante la vigencia de los Convenios/Contratos Interadministrativos.</t>
  </si>
  <si>
    <t>Acompañamiento social a la población sujeto de reasentamiento por obra pública</t>
  </si>
  <si>
    <t>reflejada en PQRSD por parte de los beneficiarios
Requerimientos por parte de la entidades contratantes por posible incumplimiento del convenio / contratos interadministrativo.
Sanciones pecuniarias por incumplimiento contractuales.</t>
  </si>
  <si>
    <t>debido a que no se cuente con la identificación de la vivienda de reposición en cumplmiento de la normatividad aplicable para la totalidad de los hogares remitidos, durante la vigencia de los Convenios/Contratos Interadministrativos.</t>
  </si>
  <si>
    <t>Posibilidad de afectación reputacional y económica del Instituto reflejada en PQRSD por parte de los beneficiarios, requerimientos por parte de la entidades contratantes por posible incumplimiento de los convenios / contratos interadministrativos, asi como sanciones pecuniarias por incumplimientos contractuales. Lo anterior debido a que no se cuente con la identificación de la vivienda de reposición en cumplmiento de la normatividad aplicable para la totalidad de los hogares remitidos, durante la vigencia de los Convenios/Contratos Interadministrativos.</t>
  </si>
  <si>
    <t>Dificultad en la búsqueda de vivienda en territorio, para adecuarse a los topes establecidos de acuerdo con la norma vigente.</t>
  </si>
  <si>
    <t>Baja</t>
  </si>
  <si>
    <t>El profesional líder de la línea de acción de reasentamiento por Obra Pública, devuelve los expedientes a la entidad contratante cuando se den las siguientes condiciones: - Se mueste mínimo 3 y máximo 6 opciones de vivienda usada por parte del isvimed sin que el beneficierio opte por alguna de ellas dentro de los 6 meses con que se cuenta dentro del proceso de reasentamiento de acuerdo a la normatividad vigente.</t>
  </si>
  <si>
    <t>Oficio de remisión a la entidad contratante con expediente digital a nombre del hogar correspondiente</t>
  </si>
  <si>
    <t>El riesgo y sus causas continúan vigentes de acuerdo al contexto? (Ver Columnas F y H):
Sigue vigente el riesgo y sus causas, ya que desde la línea de acompañamiento social en obra pública, en el periodo del seguimiento se realizaron (49) recorridos de búsqueda de vivienda; y (93) acompañamientos sociales en cuanto al estado y avance del proceso de reasentamiento de cada uno de los hogares.   
Se materializó el Riesgo?  (Evento Potencial Principal. Columna F):
No materializo el Evento Potencial Principal teniendo en cuenta que se identificaron las viviendas de varias familias, con el acompañamiento realizado en el marco de lo definido en la normatividad. 
Se materializaron las causas? (Eventos Potenciales Intermedios. Columna H):
No se materializan los eventos porque se da cumplimento a nivel técnico y de los costos de las viviendas identificadas para esas familias.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Recorridos de búsqueda de vivienda, acompañamiento social, jurídico y técnico.</t>
  </si>
  <si>
    <t xml:space="preserve">RECORRIDOS DE VIVIENDA OBRA PUBLICA
06022026_recorrido búsqueda vivienda.pdf
16.02.2026 Recorrido búsqueda de vivienda.pdf
18022026_recorrido búsqueda de vivienda .pdf
Actividades Externas Enero
https://isvimedgovco.sharepoint.com/:x:/s/8Poblacional/IQAv-t7kxF64TbTAykUEYDv5ASD_8yC6zgHhZ3GhEYFnHQg?e=gqJxWt
Actividades Externas Febrero
https://isvimedgovco.sharepoint.com/:x:/s/8Poblacional/IQDrjuQXWo49S7KrXYSKtVjsAeuQ5Qpmjq88jfI97KqudeQ?e=QhHVLK
Actividades Externas Marzo
https://isvimedgovco.sharepoint.com/:x:/s/8Poblacional/IQAlKYdALz_OTqPEqeG57anmAVqC6QAthsSPQU3SDYdiVJ0?e=S3pylA
</t>
  </si>
  <si>
    <t xml:space="preserve">
Abril
https://isvimedgovco.sharepoint.com/:x:/s/8Poblacional/IQD1Xl8dRNeuQojvcrGi7O5eAXLiMAQ8nMaAYPoWH_ddFU4?e=PEqGEJ
Mayo
https://isvimedgovco.sharepoint.com/:x:/s/8Poblacional/IQAkSSLOhV-FTZF-y5HBwVG5AbWsJmW57w8HnpvCiPP7Jkg?e=oEInnD
Junio
https://isvimedgovco.sharepoint.com/:x:/s/8Poblacional/IQAkSSLOhV-FTZF-y5HBwVG5AbWsJmW57w8HnpvCiPP7Jkg?e=oEInnD</t>
  </si>
  <si>
    <t>La vivienda indentificada para reposición no cumple con la viabilidad técnica y jurídica.</t>
  </si>
  <si>
    <t>La vivienda no cumple con las expectativas de los beneficiarios.</t>
  </si>
  <si>
    <t>GS18</t>
  </si>
  <si>
    <t>Lograr que el 100% de los hogares con vivienda de reposición identificada cuenten con acompañamiento social en las siguientes etapas: asignación del Subsidio Distrital de Vivienda, escrituración, registro, pago del SDV y entrega de la vivienda. Lo anterior, durante la vigencia de los Convenios/Contratos Interadministrativos.</t>
  </si>
  <si>
    <t>Posibilidad de afectación económica y reputacional del Instituto</t>
  </si>
  <si>
    <t>reflejada en:
- Sanciones pecuniarias por el incumplimiento del Convenio / Contrato Interadministrativo
- PQRSD por parte de los benficiarios del SDV.
- Requerimientos por parte de la entidad contratante</t>
  </si>
  <si>
    <t>debido al incumplimiento de las actividades de acompañamiento social para la totalidad de los hogares con vivienda de reposición identificada durante la vigencia de los contratos interadministrativos.</t>
  </si>
  <si>
    <t>Posibilidad de afectación económica y reputacional del Instituto reflejada en sanciones pecuniarias por el incumplimiento del Convenio / Contrato Interadministrativo, PQRSD por parte de los benficiarios del SDV asi como requerimientos por parte de la entidad contratante. Lo anterior, debido al incumplimiento de las actividades de acompañamiento social para la totalidad de los hogares con vivienda de reposición identificada durante la vigencia de los contratos interadministrativos.</t>
  </si>
  <si>
    <t>Demoras en la contratación del personal requerido, consecuencia del trámite de devolución de los recursos del balance por concepto de convenios, por el cambio de cada vigencia.</t>
  </si>
  <si>
    <t>La Subdirección Administrativa y Financiera establece los lineamientos con el fin de que la entidad cumpla oportunamente con el cierre financiero y de esta manera realizar la rápida gestión y devolución de los recursos del balance al Distrito para que este a su vez transfiera los recursos del contrato / convenio interadministrativo para la contratación oportuna del personal requerido.</t>
  </si>
  <si>
    <t>Decreto de asignación de recursos del balance con los rubros correspondiente a afectar
Contratos de prestación de servicios suscritos</t>
  </si>
  <si>
    <t>Evaluar la posibilidad de constituir vigencias futuras o reservas presupuestales para garantizar que los contratos interadministrativos de obra pública cuenten con recurso durante los primeros meses del año, toda vez que por su naturaleza estos requieren ejecutarse en más de una vigencia fiscal. Junio de 2025.</t>
  </si>
  <si>
    <t>El riesgo y sus causas continúan vigentes de acuerdo al contexto? (Ver Columnas F y H):
Sigue vigente el riesgo y sus causas, ya que se cuenta con un equipo de profesionales sociales, jurídico, financiero y técnico para el desarrollo del trabajo, y se tiene tres convenios vigentes con el Distrito de Medellin y el Metro, y tres convenios en proceso de liquidación con la EDU,  durante el trimestre se trabajó en los informes de ejecución y de supervisión mensuales correspondientes al Convenio METRO No. 121 (METRO DE LA 80), y los Contratos No.4600082068 (PROYECTOS DEL NORTE) y No. 4600072984 (CONEXIÓN VIAL NORTE).
Se materializó el Riesgo?  (Evento Potencial Principal. Columna F):
No se materializó, ya que se realizó el acompañamiento social en el marco de lo definido en cada convenio o contrato interadministrativo, no se tuvo requerimientos de dichas entidades, ni de los beneficiarios. 
Se materializaron las causas? (Eventos Potenciales Intermedios. Columna H):
No se materializan los eventos potenciales intermedios ya que ya que se cuenta con un equipo idóneo de profesionales sociales, jurídico, financiero y técnico para el desarrollo del acompañamiento social a los hogares sujetos de reasentamiento o en proceso, No hubo suspensiones de ningún contrato. Se actuó en el marco del manual de contratación de la entidad, y se garantizó desde los estudios previos y verificación de idoneidad y experiencia la competencia de los profesionales contratados.
Los Controles están bien diseñados, se aplican conforme al diseño y son efectivos? (Ver controles en la columna P / Concluir frente a cada control):
si los controles están bien definidos.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Acompañamiento social y desarrollar correctamente la contratación contando con el personal idóneo a tiempo.</t>
  </si>
  <si>
    <t xml:space="preserve">"Link de acompañamiento a población de obra publica.
https://isvimedgovco.sharepoint.com/:f:/s/8Poblacional/EowdgWJBD09JqnLlXMYysZUBpWJ-Z1af3ef1TWEwFnnWmQ?e=1qGZif
Actividades Externas Enero
https://isvimedgovco.sharepoint.com/:x:/s/8Poblacional/IQAv-t7kxF64TbTAykUEYDv5ASD_8yC6zgHhZ3GhEYFnHQg?e=gqJxWt
Actividades Externas Febrero
https://isvimedgovco.sharepoint.com/:x:/s/8Poblacional/IQDrjuQXWo49S7KrXYSKtVjsAeuQ5Qpmjq88jfI97KqudeQ?e=QhHVLK
Actividades Externas Marzo
https://isvimedgovco.sharepoint.com/:x:/s/8Poblacional/IQAlKYdALz_OTqPEqeG57anmAVqC6QAthsSPQU3SDYdiVJ0?e=S3pylA
</t>
  </si>
  <si>
    <t>Se materializó el Riesgo?  (Ver evento potencial principal en Columna F. Relacionar detalles de la materialización - que, como, cuando, donde):
No se materializó, ya que se realizó el acompañamiento social en el marco de lo definido en cada convenio o contrato interadministrativo, no se tuvo requerimientos de dichas entidades, ni de los beneficiarios. 
Los Controles están bien  diseñados, se aplican de acuerdo al diseño  y son efectivos? (Ver controles en la columna P / Concluir frente a cada control)
La profesional que lidera la linea de acompa;amiento social en obra publica,
Que acciones propones o se están llevando a cabo para gestionar el riesgo que se materializó? (Si no aplica colocar N/A)
N/A.
Que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la ejecucón de las acciones y actividades de los convenios vigentes.</t>
  </si>
  <si>
    <t xml:space="preserve">
Plan Tactico 
https://isvimedgovco.sharepoint.com/:x:/s/8Poblacional/IQCMBfB2KkX7S6crQLgmrrEZAX-Z1ZmEoAT0wmHtPuEK-aE?e=DMEplg
Actividades de acompa;amiento
Abril
https://isvimedgovco.sharepoint.com/:x:/s/8Poblacional/IQD1Xl8dRNeuQojvcrGi7O5eAXLiMAQ8nMaAYPoWH_ddFU4?e=PEqGEJ
Mayo
https://isvimedgovco.sharepoint.com/:x:/s/8Poblacional/IQAkSSLOhV-FTZF-y5HBwVG5AbWsJmW57w8HnpvCiPP7Jkg?e=oEInnD
Junio
https://isvimedgovco.sharepoint.com/:x:/s/8Poblacional/IQAkSSLOhV-FTZF-y5HBwVG5AbWsJmW57w8HnpvCiPP7Jkg?e=oEInnD</t>
  </si>
  <si>
    <t>Falta de competencia del personal contratado.</t>
  </si>
  <si>
    <t>El profesional lider de la línea de reasentamiento por obra pública define los requerimientos de idoneidad y experiencia en el estudio previo correspondiente a cada contratación y los valida generando el certificado de idoneidad y experiencia.
Asi mismo de manera semestral evalua el desempeño de los contratistas para lo cual diligencia el formato correspondiente.
Documentado en: M-GJ-01_MANUAL_DE_CONTRATACION</t>
  </si>
  <si>
    <t>Estudio previos de cada contratación
Certificado de Idoneidad y experiencia, F-GJ-94
Evaluación de proveedores</t>
  </si>
  <si>
    <t>Los vendedores de las viviendas para reposición no cuentan con el recurso para los trámites legales (escrituración).</t>
  </si>
  <si>
    <t>No existe medida vigente</t>
  </si>
  <si>
    <t>N/A</t>
  </si>
  <si>
    <t>NA</t>
  </si>
  <si>
    <t>suspensión de Convenios/Contratos Interadministrativos por falta de recursos y/o pérdida de vigencia de los mismos.</t>
  </si>
  <si>
    <t>El profesional lider de la línea de reasentamiento por obra pública gestiona la ampliación del contrato / convenio interadministrativo con 2 meses de anticipación al término de vencimiento del mismo.
El profesional lider de la línea de reasentamiento por obra pública realiza seguimiento a los trámites del Distrito para la generación y firma de la minuta en donde se materializa la ampliación del contrato / convenio interadministrativo.</t>
  </si>
  <si>
    <t>Minuta contractual de ampliación del contrato / convenio ineradministrativo</t>
  </si>
  <si>
    <t>En el caso de materialización del riesgo, se gestiona con la entidad contratante nuevas estrategias y plazos para el cabal cumplimiento de las actividades retrasadas relacionadas con el acompañamiento social a la población sujeto de reasentamiento por obra pública.</t>
  </si>
  <si>
    <t>Acta de reunión de seguimiento del contrato / convenio interadministrativo</t>
  </si>
  <si>
    <t>GS20</t>
  </si>
  <si>
    <t>Lograr el 95% de asignación efectiva del SDV vs total de asignaciones durante la vigencia de los Convenios/Contratos Interadministrativos.</t>
  </si>
  <si>
    <t>reflejada en
-PQRSD de los benficiarios
-Requerimientos por parte de la entidad contratante
- Revocatoria de los  actos administrativos.</t>
  </si>
  <si>
    <t>Debido a que menos del 95% de las asignaciónes para el SDV son efectivas.</t>
  </si>
  <si>
    <t>Posibilidad de afectación reputacional del Instituto reflejada en PQRSD por parte de los benficiarios, requerimientos por parte de la entidad contratante, asi como revocatoria de los actos administrativos. Lo anterior por causa de que menos del 95% de las asignaciónes para el SDV son efectivas.</t>
  </si>
  <si>
    <t>1. Los vendedores al momento de la escrituración no cuentan con el recurso de los gastos notariales.</t>
  </si>
  <si>
    <t>El riesgo y sus causas continúan vigentes de acuerdo al contexto? (Ver Columnas F y H):
Sigue vigente el riesgo y sus causas, ya que desde la línea de acompañamiento social en obra pública se continúa acompañando a la población.
Se materializó el Riesgo?  (Evento Potencial Principal. Columna F):
No se materializo el evento potencial principal teniendo en cuenta no hemos recibido PQRSD de los beneficiarios. Tampoco se han recibido requerimientos de las entidades frente a problemas en la asignación del SDV.
Se materializaron las causas? (Eventos Potenciales Intermedios. Columna H):
No se materializan los eventos Potenciales Intermedios porque no hemos recibido desistimientos al SDV asignado para la vivienda de reposición y los vendedores cuentan con los recursos para cubrir los trámites legales.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N.A.
Que acciones propones o se están llevando a cabo para fortalecer los controles? (Revisa también si se establecieron acciones en la columna AJ)
Seguir cualificando acompañamiento a las familias.</t>
  </si>
  <si>
    <t xml:space="preserve">Se materializó el Riesgo?  (Ver evento potencial principal en Columna F. Relacionar detalles de la materialización - que, como, cuando, donde):
No se materializo el evento potencial principal teniendo en cuenta no hemos recibido PQRSD de los beneficiarios. Tampoco se han recibido requerimientos de las entidades frente a problemas en la asignación del SDV.
Los Controles están bien  diseñados, se aplican de acuerdo al diseño  y son efectivos? (Ver controles en la columna P / Concluir frente a cada control)
Los controles están adecuadamente diseñados y se aplican correctamente y su concreción esta descrita en los puntos anteriores.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el acompañamiento a las familais reasentadas por obra publica y con estas el relacionamiento con diferentes actoresdel contextos, como los son los propietarios de viviendas.
</t>
  </si>
  <si>
    <t xml:space="preserve">
Actividades de acompañamiento
Abril
https://isvimedgovco.sharepoint.com/:x:/s/8Poblacional/IQD1Xl8dRNeuQojvcrGi7O5eAXLiMAQ8nMaAYPoWH_ddFU4?e=PEqGEJ
Mayo
https://isvimedgovco.sharepoint.com/:x:/s/8Poblacional/IQAkSSLOhV-FTZF-y5HBwVG5AbWsJmW57w8HnpvCiPP7Jkg?e=oEInnD
Junio
https://isvimedgovco.sharepoint.com/:x:/s/8Poblacional/IQAkSSLOhV-FTZF-y5HBwVG5AbWsJmW57w8HnpvCiPP7Jkg?e=oEInnD</t>
  </si>
  <si>
    <t>2. Desistimiento por parte de los propietarios de las viviendas para la venta.</t>
  </si>
  <si>
    <t>GS13</t>
  </si>
  <si>
    <t>Realizar el acompañamiento social a los hogares sujetos de atención del Isvimed antes, durante y después de la entrega de la solución definitiva de vivienda.</t>
  </si>
  <si>
    <t>Todas las líneas de acción del Proceso de Gestión Social
Prevención del riesgo público</t>
  </si>
  <si>
    <t>Posibilidad de afectación económica del Instituto</t>
  </si>
  <si>
    <t>Por demandas, multas y sanciones por parte de los funcionarios/contratistas, y/o  entes de control</t>
  </si>
  <si>
    <t>Debido a la materialización de situaciones que atentan contra la integridad física, psicológica y económica del personal que desarrolla actividades de campo en el marco del acompañamiento social a los hogares sujetos de atención del Isvimed antes, durante y después de la entrega de la solución definitiva de vivienda.</t>
  </si>
  <si>
    <t>Posibilidad de afectación económica del Instituto reflejada en demandas, multas y sanciones por parte de los funcionarios / contratistas y/o  entes de control, debido a la materialización de situaciones que atentan contra la integridad física del personal que desarrolla actividades de campo en el marco del acompañamiento social a los hogares sujetos de atención del Isvimed antes, durante y después de la entrega de la solución definitiva de vivienda.</t>
  </si>
  <si>
    <t>Catastrófico</t>
  </si>
  <si>
    <t>El Jefe inmediato o el supervisor es notificado por parte del vinculado o el contratista, en el caso de un accidente o enfermedad laboral. Esta situación es notificada al SGSST para la activación de ruta de la ARL, y debe participar en la investigación del accidente o incidente dando cumplimiento a la normatividad vigente.
Documentado en: INSTRUCTIVO PARA LA INVESTIGACIÓN DE ACCIDENTES E INCIDENTES DE TRABAJO, I-GH-08.</t>
  </si>
  <si>
    <t>Registro de investigación de incidentes y accidentes de trabajo.
Reporte de incidentes y accidentes de trabajo</t>
  </si>
  <si>
    <t xml:space="preserve">
El riesgo y sus causas continúan vigentes de acuerdo al contexto? (Ver Columnas F y H):
Sigue vigente el riesgo y sus causas, ya que desde la Subdirección Poblacional se hace el acompañamiento a los hogares, con variedad de actividades, la mayoría en territorio, realizando un total de 182 asistencias técnicas en este trimestre.
Se materializó el Riesgo?  (Evento Potencial Principal. Columna F):
No se materializaron el Evento Potencial Principal
Se materializaron las causas? (Eventos Potenciales Intermedios. Columna H):
No se materializaron los Eventos Potenciales Intermedios
Los Controles están bien diseñados, se aplican conforme al diseño y son efectivos? (Ver controles en la columna P / Concluir frente a cada control)
Los controles están adecuadamente diseñados y se aplican correctamente y su concreción esta descrita en los puntos anteriores.
Que acciones propones o se están llevando a cabo para gestionar los riesgos y las causas que se materializaron? (Si no aplica colocar NA)
Que acciones propones o se están llevando a cabo para fortalecer los controles? (Revisa también si se establecieron acciones en la columna AJ)
Cualificar el acompañamiento social y transversalizarlo por ser vital al ser humano.</t>
  </si>
  <si>
    <t xml:space="preserve">Asistencias tecnicas gestión social 2026
https://isvimedgovco.sharepoint.com/:f:/s/8Poblacional/IgBxUfoJw_OzRpv9spAmgTxBAfvJSgTFrlp_swsXZ1qffqI?e=ghZ2MW
</t>
  </si>
  <si>
    <t>ASISTENCIAS TÉCNICAS, filtrar abril, mayo y junio
https://isvimedgovco.sharepoint.com/:x:/s/8Poblacional/IQBPI83EP3smSo-vu8436LSGAc7grEB7_3C59ERvBA3ca1U?e=AmtPWa</t>
  </si>
  <si>
    <t>1. Alteraciones del orden público o delitos como robo, extorsión, secuestro, lesiones personales u otros similares</t>
  </si>
  <si>
    <t>El Jefe inmediato o el supervisor notifica las actividades de campo al asesor de seguridad del Isvimed previo a su realización (cuando aplique).
Documentado en: PROGRAMA DE PREVENCIÓN DE RIESGO PÚBLICO, PR-GH-02.</t>
  </si>
  <si>
    <t>Correo electrónico notificando actividades de campo.</t>
  </si>
  <si>
    <t>2. Incumplimiento en la implementación del programa de prevención de riesgo público</t>
  </si>
  <si>
    <t>El líder de línea de acción verifica que el Programa de Riesgo Público haya sido socializado en reunión de equipo primario por lo menos una vez al año.</t>
  </si>
  <si>
    <t>Acta de reunión de equipo primario
Registros de asistencia</t>
  </si>
  <si>
    <t>3.Incumplimiento en la implementación de las directrices en materia de Seguridad y Salud en el trabajo</t>
  </si>
  <si>
    <t>3.1</t>
  </si>
  <si>
    <t>El supervisor verifica el cumplimiento de las directrices institucionales en materia de seguridad y salud en el trabajo, por medio del uso de los Elementos de protección personal (EPP) y la obligación contractual relacionada con la política de seguridad y salud en el trabajo.
Documentado en: La minuta de cada contrato como obligación contractual por parte del contratista.</t>
  </si>
  <si>
    <t>3.2</t>
  </si>
  <si>
    <t>El jefe o supervisor informa el incumplimiento del protocolo al responsable del SG-SST y a la Subdireción Jurídica, para que evalúen la posible configuración de falta disciplinaria o incumplimiento contractual y se tomen las medidas a que haya lugar. 
Documentado en: Manual de supervisión e interventoría, M-GJ-03 e Instructivo para proceso disciplinario interno, I-GJ-04</t>
  </si>
  <si>
    <t>Informe de supervisión
Notificación de la posible falta disciplinable a la Subdirección Jurídica
Acto sancionatorio</t>
  </si>
  <si>
    <r>
      <rPr>
        <b/>
        <sz val="11"/>
        <color theme="9" tint="-0.249977111117893"/>
        <rFont val="Arial Narrow"/>
        <family val="2"/>
      </rPr>
      <t xml:space="preserve">*Nota: </t>
    </r>
    <r>
      <rPr>
        <sz val="11"/>
        <color theme="1"/>
        <rFont val="Arial Narrow"/>
        <family val="2"/>
      </rPr>
      <t>La columna referencia se sugiere para mantener el consecutivo de riesgos, así el riesgo salga del mapa no existirá otro riesgo con el mismo número. Una entidad puede ir en el riesgo 150 pero tener 70 riesgos, lo que permite llevar una traza de los riesgos. Esta información la debe administrar la Oficina Asesora de Planeación o Gerencia de Riesgos.</t>
    </r>
  </si>
  <si>
    <t>Fuente:  Adaptado de Curso Riesgo Operativo Universidad del Rosario por Dirección de Gestión y Desempeño Institucional de Función Pública,  2020.</t>
  </si>
  <si>
    <t>CONTROL DE CAMBIOS</t>
  </si>
  <si>
    <t>Riesgo No.</t>
  </si>
  <si>
    <t>Fecha Cambio</t>
  </si>
  <si>
    <t>Descripción del cambio</t>
  </si>
  <si>
    <t>Para el evento potencial intermedio 3, se incluye el control 3.2. de tipo preventivo: “La Subdirección Poblacional realiza verificación periódica de la normativa relacionada con la atención mediante la solución definitiva de vivienda a los hogares de riesgo, desastre y emergencia, para viabilizar el acceso de esta población a la vivienda de interés social (VIS). En caso de identificar cambios en la normativa, esta información es socializada a la subdirección jurídica para que adelante las gestiones correspondientes”</t>
  </si>
  <si>
    <t>Se incluye el control 3 de tipo preventivo: “El Líder de la línea de acción o quien este delegue, participa en la mesa de seguimiento a proyectos liderada por la Dirección y la Subdirección de Planeación, para identificar los proyectos que inician etapa de prefactibilidad y proyectar los recursos humanos necesarios.”</t>
  </si>
  <si>
    <t>GS12</t>
  </si>
  <si>
    <t>Se incluye el control de tipo correctivo 0.2 para efectos de disminuir el impacto residual. Redacción del control: “El personal de la línea de acción identifica los casos con demora en el trámite para la asignación y aplicación del Subsidio Municipal de Vivienda atribuible a los hogares y los cita a la Personería de Medellín, como ente de control y garantía de derechos, para socializar los avances en su atención e informar un término no más de un (1) mes para la búsqueda y una oferta de no más de tres (3) viviendas.”</t>
  </si>
  <si>
    <t xml:space="preserve">Para el evento potencial intermedio 3, se incluye el control 3.2. de tipo correctivo: El jefe o supervisor informa el incumplimiento del protocolo al responsable del SG-SST y a la Subdireción Jurídica, para que evalúen la posible configuración de falta disciplinaria o incumplimiento contractual y se tomen las medidas a que haya lugar. </t>
  </si>
  <si>
    <t>Se realizan cambios de redacción a nivel general reemplazando la palabra municipal por distrital teniendo en cuenta la designación de Medellín como distrito de ciencia, tecnología e innovación.
En el evento potencial principal, adicional a la demora en la asignación y aplicación del SDV se incluya la demora en el pago del mismo.
Al evento potencial intermedio 2 relacionado con las demoras en la contratación del personal requerido se aclara que esta situación es derivada de la tardanza en la devolución de los recursos del balance por concepto de convenios, por el cambio de cada vigencia.
Se incluye el evento potencial intermedio 4 y control relacionado: “La tardanza en la aprobación  de las resoluciones de asignación del Subsidio Distrital de Vivienda (SDV) a nivel interno”.
Se incluye el evento potencial intermedio 5, no se relaciona control: “dificultad en la búsqueda de vivienda en territorio para adecuarse a los topes establecidos en el Decreto 1053 de 2020.”
Se incluye el evento potencial intermedio 6 y control relacionado: “Error en la elaboración de las minutas de escritura pública para la autorización del pago del Subsidio Distrital de Vivienda, al excluir de la misma la parte contratante, lo que impide que el pago total de la vivienda se realice (generando reprocesos que retardan los negocios)”.</t>
  </si>
  <si>
    <t>Se incluye el objetivo / requisito a cumplir. En la descripción del riesgo se incluye "para favorecer la adaptación al nuevo hábitat" de acuerdo con lo establecido en el objetivo / requisito a cumplir y se ajusta la puntuación de algunas palabras; además, en el control 1 se elimina la parte "los requerimientos de la comunidad", en tanto ya se encuentran incluidos dentro de las necesidades de la copropiedad; también se actualiza la denominación "informe ejecutivo semanal" por "plan táctico de la línea de acción". Se elimina la acción propuesta en el campo "Tratamiento del riesgo", dado que ya se encuentra incluída en los controles 6.1 y 6.2. Se elimina el control 3, dado que la poca asistencia a las actividades es un asunto atribuible a la comunidad y no es una causa del riesgo.</t>
  </si>
  <si>
    <t>GS7</t>
  </si>
  <si>
    <t>Se elimina el riesgo GS7 ya que la normativa para la verificación de habitabilidad cambió, razón por la cual, las visitas se realizarán de manera aperiódica únicamente a los hogares objeto de verificación de habitabilidad.</t>
  </si>
  <si>
    <t xml:space="preserve">Se incluye el objetivo / requisito a cumplir. Se cambia la palabra "emergencia" por "calamidad" en la temática / línea de acción. Se realizan cambios de redacción a nivel general reemplazando la palabra municipal por distrital teniendo en cuenta la designación de Medellín como distrito de ciencia, tecnología e innovación. Se actualiza el control 1.2 con la inclusión de la acción propuesta en el campo "Tratamiento del riesgo". Se elimina la acción "Diseñar una campaña comunicacional para reforzar en los hogares los compromisos adquiridos para la asignación del arrendamiento temporal con el fin de que reporten las novedades respecto a dichos requisitos", dado que ésta ya fue realizada tal y como se indicó en seguimientos anteriores. </t>
  </si>
  <si>
    <t>Se incluye el objetivo / requisito a cumplir. Se cambia la palabra "emergencia" por "calamidad" en la temática / línea de acción. Se realizan cambios de redacción a nivel general reemplazando la palabra municipal por distrital teniendo en cuenta la designación de Medellín como distrito de ciencia, tecnología e innovación. Se elimina la acción "Consultar a Colombia Compra Eficiente si existe un sistema de información que permita identificar si los integrantes del hogar han suscrito contratos durante la vigencia del subsidio", dado que no fue posible la articulación con esta entidad estatal, tal y como se explicó en seguimientos anteriores.</t>
  </si>
  <si>
    <t>Se incluye el objetivo / requisito a cumplir. Se cambia la palabra "emergencia" por "calamidad" en la temática / línea de acción. Se realizan cambios de redacción a nivel general reemplazando la palabra municipal por distrital teniendo en cuenta la designación de Medellín como distrito de ciencia, tecnología e innovación. Se elimina la acción "Evaluar la posibilidad de gestionar la articulación con el Departamento Administrativo de Planeación Municipal para la búsqueda de lotes de oportunidad y establecer otras posibles medidas con el área de planeación urbana que posibiliten la construcción de proyectos de vivienda VIP", dado que esta propuesta obedecía al direccionamiento de la anterior administración. Por otra parte, la acción "Determinar acciones con la Subdirección de Planeación y la Dirección para que la población de riesgo  pueda acceder a las modalidades de subsidio para vivienda nueva y usada", se fusiona con el control 2, en tanto ambas se refieren a la misma gestión. La acción "Evaluar la posibilidad de financiación internacional para permitir que la población de riesgo pueda acceder a vivienda tipo VIS", se modifica en función de la articulación interinstitucional con diferentes actores para el cierre financiero, tales como el Ministerio de Vivienda, las Cajas de Compensación Familiar, entre otros.</t>
  </si>
  <si>
    <t xml:space="preserve">Se incluye el objetivo / requisito a cumplir.  Se realizan cambios de redacción a nivel general reemplazando la palabra municipal por distrital teniendo en cuenta la designación de Medellín como distrito de ciencia, tecnología e innovación. Se elimina la causa "Falta de socialización por parte de la Subdirección de Planeación sobre los proyectos que inician etapa de prefactibilidad para efectos de proyectar recursos humanos en el acompañamiento social en obra", dado que no es aplicable al contexto actual de la entidad. También se elimina la acción "Evaluar la posibilidad de concertar con la Subdirección de Planeación la socialización de los proyectos que inician etapa de prefactibilidad para efectos de proyectar recursos humanos en el acompañamiento social en obras" dado que, en el contexto del nuevo Plan de Desarrollo Distrital, el ISVIMED enfocará sus acciones en la asignación de subsidios de vivienda y no en la construcción de proyectos propios. </t>
  </si>
  <si>
    <t xml:space="preserve">Se incluye el objetivo / requisito a cumplir. Se cambia el documento de referencia del control 1, pasado de "MANUAL PARA LA ATENCIÓN CON SDV Y ACOMPAÑAMIENTO SOCIAL A POBLACIÓN SUJETO DE REASENTAMIENTO POR OBRA PÚBLICA" a "PROCEDIMIENTO PARA LA ATENCIÓN CON SDV Y ACOMPAÑAMIENTO SOCIAL A POBLACIÓN SUJETO DE REASENTAMIENTO POR OBRA PÚBLICA". Se eliminan las acciones: "Estandarizar dentro del Sistema de Gestión de Calidad instrumento de seguimiento de estado de atención de hogares"; “Estudiar el decreto 1053 de 2020 para determinar si es posible asignar discrecionalmente el monto del SDV o en caso contrario evaluar la posibilidad de su modificación” y “Establecer el mecanismo para dejar evidencia en el acompañamiento del Isvimed durante la firma de escrituras”, toda vez que ya fueron gestionadas en trimestres anteriores. Se ajusta la redacción de la acción "Evalúar las estrategias legales y financieras, que soporten los recursos de los convenios en los componentes de pagos de honorarios de personal, para garantizar antes de que culmine la vigencia, los tres o cuatro primeros meses de la siguiente", precisando su alcance. </t>
  </si>
  <si>
    <t>Se incluye el objetivo / requisito a cumplir. En el evento potencial principal se incluye la afectación psicológica y económica de acuerdo con el contexto externo de la entidad, así mismo se precisa que esta situación se puede presentar "en el marco del acompañamiento social a los hogares sujetos de atención del Isvimed antes, durante y después de la entrega de la solución definitiva de vivienda". La causa 1 se complementa con "delitos como robo, extorsión, secuestro, lesiones personales u otros similares". Se modifica lo relacionado al Protocolo de Bioseguridad, prevención y promoción para prevención de la Covid-19, ampliando su alcance en términos de las directrices en materia de Seguridad y Salud en el trabajo. Se ajusta la redacción del control 1, precisando la actividad a desarrollar: "notificar las actividades de campo al asesor de seguridad del Isvimed". Se eliminan las acciones: "Coordinar con el responsable de SGSST que cuando se den accidentes laborales o enfermedades profesionales producto de actividades en campo, la Subdirección sea retroalimentada para efectos establecer acciones de mejora y/o el ajuste del programa de riesgo público" y "Coordinar con el área de Talento Humano la actualización del Programa de Prevención de Riesgo Publico, incluyendo los protocolos de seguridad para situaciones relacionadas con condiciones climáticas y del terreno en actividades de campo", en tanto ya se dio cumplimiento a su ejecución, tal y como se indicó en seguimientos anteriores.</t>
  </si>
  <si>
    <t>Todos los riesgos</t>
  </si>
  <si>
    <t>Se incluyen en la respectiva columna los objetivos relacionados con las líneas de acción del proceso de Gestión Social.</t>
  </si>
  <si>
    <t>Se incluye este riesgo producto de validación de riesgos Vs objetivos SMART, relacionado con la posibilidad de que no se realice una adecuada revisión técnica y jurídica del inmueble donde se aplicará el SDAT (Subsidio Distrital de Arrendamiento Temporal) de acuerdo a lo establecido en la normatividad aplicable y el manual para la aplicación del SDAT.</t>
  </si>
  <si>
    <t>Se elimina este riesgo teniendo en cuenta que se identifican nuevos riesgos de acuerdo a los objetivos SMART identificados para la línea de acción de Acompañamiento social a población sujeto de reasentamiento por obra pública.</t>
  </si>
  <si>
    <t>Se ajusta este riesgo teniendo en cuenta que no está alineado con el objetivo “Acompañar el 100% de hogares priorizados con solución de vivienda definitiva de la población de riesgo, desastre y/o calamidad para la concurrencia de subsidios y recursos, en el cuatrienio 2024-2027”. Se ajusta por la siguiente redacción: “Posibilidad de afectación reputacional del Instituto reflejada en la existencia de las PQRSD y tutelas por parte de la población afectada derivadas de la falta de atención y acompañamiento para lograr una solución de vivienda definitiva. Lo anterior, debido a que no sea posible realizar el acompañamiento social a los hogares priorizados con solución de vivienda definitiva de la población de riesgo, desastre y/o calamidad para la concurrencia de subsidios y recursos.”</t>
  </si>
  <si>
    <t>Se incluye el riesgo relacionado con la demora en la identificación de la vivienda de reposición para la línea de acción de Acompañamiento social a la población sujeto de reasentamiento por obra pública.</t>
  </si>
  <si>
    <t>Se incluye el riesgo relacionado con que los hogares que se inscriben al SDV en la modalidad de demanda libre y demanda organizada no cumplen con los requisitos para la asignación del mismo para la línea de acción Acompañamiento social a vivienda nueva.</t>
  </si>
  <si>
    <t>Se incluye el riesgo relacionado con la imposibilidad / demora en la postulación al SDV en la modalidad de vivienda nueva y usada para la línea de acción de Postulaciones y Entregas.</t>
  </si>
  <si>
    <t>Se incluye el riesgo relacionado con el incumplimiento de las actividades de acompañamiento social para la población sujeto de reasentamiento por obra pública para la línea de Acompañamiento social a la población sujeto de reasentamiento por obra pública.</t>
  </si>
  <si>
    <t>Se incluye el riesgo relacionado con la imposibilidad / demora en la entrega de viviendas remitidas por la subdirección de Dotación de Vivienda y Habitat, para la línea de Postulaciones y Entregas.</t>
  </si>
  <si>
    <t>Se incluye el riesgo relacionado que no es posible la asignación efectiva del SDV y por lo tanto se debe gestionar la revocatoria del acto administrativo para la línea de Acompañamiento social a la población sujeto de reasentamiento por obra pública.</t>
  </si>
  <si>
    <t>MAPA DE CALOR INHERENTE (ANTES DE CONTROLES)</t>
  </si>
  <si>
    <t>MAPA DE CALOR RIESGO INHERENTE</t>
  </si>
  <si>
    <t>Impacto</t>
  </si>
  <si>
    <t>CALIFICACIÓN RIESGO INHERENTE</t>
  </si>
  <si>
    <t>No. DEL RIESGO</t>
  </si>
  <si>
    <t>RIESGO</t>
  </si>
  <si>
    <t>PROBABILIDAD</t>
  </si>
  <si>
    <t>IMPACTO</t>
  </si>
  <si>
    <t>SEVERIDAD (NIVEL DE RIESGO)</t>
  </si>
  <si>
    <t>Leve</t>
  </si>
  <si>
    <t>Menor</t>
  </si>
  <si>
    <t>Probabilidad</t>
  </si>
  <si>
    <t>Muy Alta</t>
  </si>
  <si>
    <t>R16</t>
  </si>
  <si>
    <t/>
  </si>
  <si>
    <t>R17</t>
  </si>
  <si>
    <t>R18</t>
  </si>
  <si>
    <t>R19</t>
  </si>
  <si>
    <t>R20</t>
  </si>
  <si>
    <t>MAPA DE CALOR RESIDUAL (DESPUES DE CONTROLES)</t>
  </si>
  <si>
    <t>MAPA DE CALOR RIESGO RESIDUAL</t>
  </si>
  <si>
    <t>CALIFICACIÓN RIESGO RESIDUAL</t>
  </si>
  <si>
    <t>No. Riesgo</t>
  </si>
  <si>
    <t>Severidad 
(Nivel de Riesgo)</t>
  </si>
  <si>
    <t>MAPA DE CALOR INHERENTE Y RESIDUAL</t>
  </si>
  <si>
    <t xml:space="preserve">                   </t>
  </si>
  <si>
    <t>Tabla Criterios para definir el nivel de probabilidad Inherente</t>
  </si>
  <si>
    <t>Frecuencia de la Actividad</t>
  </si>
  <si>
    <t>La actividad que conlleva el riesgo se ejecuta como máximos 2 veces por año</t>
  </si>
  <si>
    <t>La actividad que conlleva el riesgo se ejecuta de 3 a 24 veces por año</t>
  </si>
  <si>
    <t>La actividad que conlleva el riesgo se ejecuta de 24 a 500 veces por año</t>
  </si>
  <si>
    <t>La actividad que conlleva el riesgo se ejecuta mínimo 500 veces al año y máximo 5000 veces por año</t>
  </si>
  <si>
    <t>La actividad que conlleva el riesgo se ejecuta más de 5000 veces por año</t>
  </si>
  <si>
    <t>Tabla Criterios para definir el nivel de impacto Inherente</t>
  </si>
  <si>
    <t>Insignificante</t>
  </si>
  <si>
    <t>Descripción</t>
  </si>
  <si>
    <t>Leve 20%</t>
  </si>
  <si>
    <t>1. No tiene impactos en la prestación del servicio ni en la operación de los procesos internos.</t>
  </si>
  <si>
    <t>2. No afecta el cumplimiento de la misión ni de los objetivos estratégicos del Plan de Desarrollo.</t>
  </si>
  <si>
    <t>3. No representa impactos financieros para la organización.</t>
  </si>
  <si>
    <t>4. No genera multas ni sanciones.</t>
  </si>
  <si>
    <t>5. Genera consecuencias negativas en la imagen (opinión) ante sus grupos de interés (internos) de baja intensidad (puntuales) y mitigable o reversible de manera inmediata.</t>
  </si>
  <si>
    <t xml:space="preserve">6. No genera fallas en el funcionamiento del software o hardware, ni perdida/daño de información o mal uso de esta. </t>
  </si>
  <si>
    <t xml:space="preserve">Menor-40% </t>
  </si>
  <si>
    <t>1. Interrupción mínima en la prestación de los servicios o en la operación de los procesos. Reversibles de manera inmediata.</t>
  </si>
  <si>
    <t xml:space="preserve">     El riesgo afecta la imagen de alguna área de la organización</t>
  </si>
  <si>
    <t>2. Retrasa algunas actividades de proyectos, pero no afectan la ejecución global de los mismos. No afecta el cumplimiento los objetivos estratégicos del Plan de Desarrollo.</t>
  </si>
  <si>
    <t xml:space="preserve">     El riesgo afecta la imagen de la entidad internamente, de conocimiento general, nivel interno, de junta dircetiva y accionistas y/o de provedores</t>
  </si>
  <si>
    <t>3. Puede llevar traslados de rubros, ajustes en el presupuesto, pero no representa impactos financieros para la organización.</t>
  </si>
  <si>
    <t xml:space="preserve">     El riesgo afecta la imagen de la entidad con algunos usuarios de relevancia frente al logro de los objetivos</t>
  </si>
  <si>
    <t>4. Genera llamados de atención, pero no multas ni sanciones.</t>
  </si>
  <si>
    <t xml:space="preserve">     El riesgo afecta la imagen de de la entidad con efecto publicitario sostenido a nivel de sector administrativo, nivel departamental o municipal</t>
  </si>
  <si>
    <t>5. Genera consecuencias negativas en la imagen (opinión) ante sus grupos de interés de intensidad media y mitigable o reversible en el corto plazo (6 meses). La imagen del Instituto se podría ver afectada a nivel regional y local.</t>
  </si>
  <si>
    <t xml:space="preserve">     El riesgo afecta la imagen de la entidad a nivel nacional, con efecto publicitarios sostenible a nivel país</t>
  </si>
  <si>
    <t>6. Genera fallas de funcionamiento en el software o hardware que dificultad el acceso a información afectando funciones específicas, cargos específicos.  Reversible en un término no mayor a 2 horas.</t>
  </si>
  <si>
    <t>Moderado 60%</t>
  </si>
  <si>
    <t>1. Genera interrupción y demora en la prestación del servicio y/o en el desarrollo de las actividades de los procesos.  Reversibles en un término de máximo 1 día.</t>
  </si>
  <si>
    <t>2. Retrasa actividades, llevando a extender plazos para la ejecución de las mismas, pero no afectan la ejecución global de los proyectos. No afecta el cumplimiento de los objetivos estratégicos del Plan de Desarrollo.</t>
  </si>
  <si>
    <t>3. Puede llevar traslados de rubros, ajustes en el presupuesto, pero no representa impactos financieros para la organización. Puede desencadenar en retrasos del plan de inversiones.</t>
  </si>
  <si>
    <t>4. Genera algunas multas y sanciones por incumplimiento. Puede generar procesos disciplinarios al personal interno.</t>
  </si>
  <si>
    <t>5. Genera consecuencias negativas en la imagen (opinión) ante sus grupos de interés (comunidad, de intensidad alta y mitigable o reversible en el mediano plazo (1 año). La imagen del Instituto se podría ver afectada a nivel regional y local.</t>
  </si>
  <si>
    <t>6. Genera fallas de funcionamiento en el software o hardware que dificultad el acceso a información afectando funciones específicas, cargos específicos.  Reversible en un término no mayor a 5 horas.</t>
  </si>
  <si>
    <t>Mayor 80%</t>
  </si>
  <si>
    <t>1. Genera interrupción y demora en la prestación del servicio y/o en el desarrollo de las actividades de los procesos.  Reversibles en un término de 1 a 2 días.</t>
  </si>
  <si>
    <t>2. Retrasa proyectos, llevando a extender plazos, aumentar presupuesto, para la ejecución de estos, pero no afectan la ejecución global. No afecta el cumplimiento de los objetivos estratégicos del Plan de Desarrollo.</t>
  </si>
  <si>
    <t>3. Puede llevar traslados de rubros, ajustes en el presupuesto y retrasos en su ejecución. Representa impactos financieros para la organización (perdida, no desembolso) que llevan al incumplimiento de proyectos del plan desarrollo.</t>
  </si>
  <si>
    <t>4. Genera multas y sanciones por incumplimiento. Puede generar procesos disciplinarios al personal interno, remoción de personal de sus cargos.</t>
  </si>
  <si>
    <t>5. Genera consecuencias negativas en la imagen (opinión) ante sus grupos de interés de intensidad grave y mitigable o reversible en el largo plazo (Cuatro años o menos).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</si>
  <si>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término no mayor a 8 horas.</t>
  </si>
  <si>
    <t>Catastrófico 100%</t>
  </si>
  <si>
    <t>1. Genera interrupción y demora significativa en la prestación del servicio y/o en el desarrollo de las actividades de los procesos. Reversibles en un término de 3 a 5 días.</t>
  </si>
  <si>
    <t>2. Genera incumplimiento de los proyectos. Genera sobrecostos y afecta el cumplimiento de los objetivos estratégicos de Plan de Desarrollo.</t>
  </si>
  <si>
    <t>3. Representa impactos financieros para la organización (perdida, no desembolso) que llevan al incumplimiento de objetivos del plan desarrollo.</t>
  </si>
  <si>
    <t>4. Genera multas y sanciones por incumplimiento. Puede generar procesos disciplinarios al personal interno, remoción de personal de sus cargos. Pago de indemnizaciones por incumplimiento que puede llevar a afectar el presupuesto del Instituto.</t>
  </si>
  <si>
    <t>5. Genera consecuencias negativas en la imagen (opinión) ante sus grupos de interés (comunidad, empleados, clientes, gobierno, etc.) con una intensidad muy alta y reversible en el largo plazo (más de 5 años para revertir la afectación). La imagen del Instituto se podría ver afectada a nivel regional y nacional.</t>
  </si>
  <si>
    <t>6. Genera fallas de funcionamiento en el software o hardware que dificultad el acceso a información afectando módulos completos (SIFI), afectación de servidores (Correo, Directorio Activo).  Reversible en un tiempo superior a un día.</t>
  </si>
  <si>
    <t>Criterios</t>
  </si>
  <si>
    <t>Subcriterios</t>
  </si>
  <si>
    <t>Afectación Económica o presupuestal</t>
  </si>
  <si>
    <t>Afectación menor a 10 SMLMV .</t>
  </si>
  <si>
    <t xml:space="preserve">Entre 10 y 50 SMLMV </t>
  </si>
  <si>
    <t xml:space="preserve">Entre 50 y 100 SMLMV </t>
  </si>
  <si>
    <t xml:space="preserve">Entre 100 y 500 SMLMV </t>
  </si>
  <si>
    <t xml:space="preserve">Mayor a 500 SMLMV </t>
  </si>
  <si>
    <t>Pérdida Reputacional</t>
  </si>
  <si>
    <t>El riesgo afecta la imagen de alguna área de la organización</t>
  </si>
  <si>
    <t>El riesgo afecta la imagen de la entidad internamente, de conocimiento general, nivel interno, de junta dircetiva y accionistas y/o de provedores</t>
  </si>
  <si>
    <t>El riesgo afecta la imagen de la entidad con algunos usuarios de relevancia frente al logro de los objetivos</t>
  </si>
  <si>
    <t>El riesgo afecta la imagen de de la entidad con efecto publicitario sostenido a nivel de sector administrativo, nivel departamental o municipal</t>
  </si>
  <si>
    <t>El riesgo afecta la imagen de la entidad a nivel nacional, con efecto publicitarios sostenible a nivel país</t>
  </si>
  <si>
    <t>❌</t>
  </si>
  <si>
    <t>✔</t>
  </si>
  <si>
    <t>Tabla Atributos de para el diseño del control</t>
  </si>
  <si>
    <t>Características</t>
  </si>
  <si>
    <t>Peso</t>
  </si>
  <si>
    <t>Atributos de Eficiencia</t>
  </si>
  <si>
    <t>Va hacia las causas del riesgo, aseguran el resultado final esperado.</t>
  </si>
  <si>
    <t>Detecta que algo ocurre y devuelve el proceso a los controles preventivos.
Se pueden generar reprocesos.</t>
  </si>
  <si>
    <t>Dado que permiten reducir el impacto de la materialización del riesgo, tienen un costo en su implementación.</t>
  </si>
  <si>
    <t>Automático</t>
  </si>
  <si>
    <t>Son actividades de procesamiento o validación de información que se ejecutan por un sistema y/o aplicativo de manera automática sin la intervención de personas para su realización.</t>
  </si>
  <si>
    <t>Controles que son ejecutados por una persona., tiene implícito el error humano.</t>
  </si>
  <si>
    <r>
      <rPr>
        <b/>
        <sz val="12"/>
        <color theme="9" tint="-0.249977111117893"/>
        <rFont val="Arial Narrow"/>
        <family val="2"/>
      </rPr>
      <t>*</t>
    </r>
    <r>
      <rPr>
        <b/>
        <sz val="12"/>
        <rFont val="Arial Narrow"/>
        <family val="2"/>
      </rPr>
      <t>Atributos de</t>
    </r>
    <r>
      <rPr>
        <b/>
        <sz val="12"/>
        <color theme="9" tint="-0.249977111117893"/>
        <rFont val="Arial Narrow"/>
        <family val="2"/>
      </rPr>
      <t xml:space="preserve"> </t>
    </r>
    <r>
      <rPr>
        <b/>
        <sz val="12"/>
        <color rgb="FF000000"/>
        <rFont val="Arial Narrow"/>
        <family val="2"/>
      </rPr>
      <t>Formalización</t>
    </r>
  </si>
  <si>
    <t>Controles que están documentados en el proceso, ya sea en manuales, procedimientos, flujogramas o cualquier otro documento propio del proceso.</t>
  </si>
  <si>
    <t>-</t>
  </si>
  <si>
    <t>Identifica a los controles que pese a que se ejecutan en el proceso no se encuentran documentados en ningún documento propio del proceso</t>
  </si>
  <si>
    <t>Este atributo identifica a los controles que se ejecutan siempre que se realiza la actividad originadora del riesgo.</t>
  </si>
  <si>
    <t>Este atributo identifica a los controles que no siempre se ejecutan cuando se realiza la actividad originadora del riesgo</t>
  </si>
  <si>
    <t>El control deja un registro que permite evidenciar la ejecución del control</t>
  </si>
  <si>
    <t>Sin Registro</t>
  </si>
  <si>
    <t>El control no deja registro de la ejecución del control</t>
  </si>
  <si>
    <r>
      <rPr>
        <b/>
        <sz val="12"/>
        <color theme="9" tint="-0.249977111117893"/>
        <rFont val="Arial Narrow"/>
        <family val="2"/>
      </rPr>
      <t>*Nota 1:</t>
    </r>
    <r>
      <rPr>
        <sz val="12"/>
        <color theme="1"/>
        <rFont val="Arial Narrow"/>
        <family val="2"/>
      </rPr>
      <t xml:space="preserve"> Los atributos de formalización se recogerán de manera informativa, con el fin de conocer el entorno del control y complementar el análisis con elementos cualitativos; éstos no tienen una incidencia directa en su efectividad. </t>
    </r>
  </si>
  <si>
    <t>Registro Sustancial</t>
  </si>
  <si>
    <t>Registro Material</t>
  </si>
  <si>
    <t>Sin registro</t>
  </si>
  <si>
    <t>Reducir</t>
  </si>
  <si>
    <t>Aceptar</t>
  </si>
  <si>
    <t>Evitar</t>
  </si>
  <si>
    <t>Finalizado</t>
  </si>
  <si>
    <t>En curso</t>
  </si>
  <si>
    <t>Económico</t>
  </si>
  <si>
    <t>Reputacional</t>
  </si>
  <si>
    <t>Reducir (compartir)</t>
  </si>
  <si>
    <t>Económico y Reputacional</t>
  </si>
  <si>
    <t>Plan de accion (solo para la opción reducir)</t>
  </si>
  <si>
    <t>Impacto Inherente</t>
  </si>
  <si>
    <t>TIPOLOGÍA</t>
  </si>
  <si>
    <t>Seg. de la Información</t>
  </si>
  <si>
    <t>Integridad Pùblica - Corrupción</t>
  </si>
  <si>
    <t>Integridad Pùblica - LA/FT/FP</t>
  </si>
  <si>
    <t>Procesos Institucionales</t>
  </si>
  <si>
    <t>Gestión Estratégica</t>
  </si>
  <si>
    <t>Gestión de Desarrollo de Soluciones Habitacionales</t>
  </si>
  <si>
    <t>Gestión de Atención al Usuario</t>
  </si>
  <si>
    <t>Gestión del Talento Humano</t>
  </si>
  <si>
    <t>Gestión de Comunicaciones</t>
  </si>
  <si>
    <t>Gestión Financiera</t>
  </si>
  <si>
    <t>Gestión de Infraestructura</t>
  </si>
  <si>
    <t>Gestión de TIC</t>
  </si>
  <si>
    <t>Gestión Documental</t>
  </si>
  <si>
    <t>Gestión Jurídica</t>
  </si>
  <si>
    <t>Gestión de Evaluación y  Mejora Continua</t>
  </si>
  <si>
    <t>Gesión de Evaluación Indpendiente</t>
  </si>
  <si>
    <t>Base de datos de resoluciones de terminación:
https://isvimedgovco.sharepoint.com/:x:/r/sites/8Poblacional-02.Arrendamientotemporal/Documentos%20compartidos/02.Arrendamiento%20temporal/Terminaciones/BASE%20DE%20DATOS%20TERMINACIONES%20CONSOLIDADO%20ABRIL.xlsx?d=w62082ebf6ea84cc28769fef93f85b30a&amp;csf=1&amp;web=1&amp;e=CHXpTK
Indicador de Hogares beneficiados con Arrendamiento Temporal
https://sifi.isvimed.gov.co/indicadores/visualizar?id=962</t>
  </si>
  <si>
    <t xml:space="preserve">Se materializó el Riesgo?  (Ver evento potencial principal en Columna F. Relacionar detalles de la materialización - que, como, cuando, donde):
No se materializó el riesgo, ya que se cumplió con las actividades de acompañamiento social programadas para el segundo trimestre de 2026, además las actividades se realizaron en el marco del cumplimiento de los protocolos y guías metodológicas definidas en esta línea.
Los Controles están bien  diseñados, se aplican de acuerdo al diseño y son efectivos? (Ver controles en la columna P / Concluir frente a cada control)
Los controles sí se encuentran debidamente diseñados y fueron efectivos, así: 
1. La profesional líder de copropiedades dinamizó el cumplimiento de las actividades del plan táctico de la linea de acción y del cronograma de actividades mensuales, actualizando los diferentes seguimientos. 
2. El funcionamiento de la línea está acorde al Plan Anual de Adquisisiones, de acuerdo a los seguimientos realizados.
4. El equipo de profesionales de copropiedades realiza las actividades en el marco del cumplimiento del P-GS-09 PROCEDIMIENTO PARA EL ACOMPANAMIENTO SOCIAL A COPROPIEDADES Y VERIFICACION DE HABITABILIDAD, para abril ingresa una nueva profesional contratista y recibe la inducción general. 
5.1. El equipo de profesionsales conocen y aplican acciones de prevención del riesgo público en sus actividades en campo.
5.2. Para este trimestre no se requirio acompañamiento de los motorizados, sin embargo en los proyectos habitacionales en los que se realizaron actividades de acompañamiento social, hubo presencia de los vigilantes, cuando estos estaban en el proyecto.
6.1. Desde la subdirectora Poblacional se verificaron los estudios previos y los certificados de idoneidad del personal contratado en dicha subdirección.
6.2. Se hace la evaluación de proveedores del equipo de profesionales de la línea de acompañamiento social a copropiedades del primer semestre de 2026.
7. El profesional líder de la línea de copropiedades verificó que el proceso precontractual y contractual para la contratación de personal se realizó de acuerdo a los tiempos establecidos en el Plan Anual de Adquisiciones.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Se esta realizando lo descrito en el control 4, de acuerdo a la ejecución de actividades del plan táctico y el cronograma de actividades.
</t>
  </si>
  <si>
    <r>
      <t xml:space="preserve">Se materializó el Riesgo?  (Ver evento potencial principal en Columna F. Relacionar detalles de la materialización - que, como, cuando, donde):
No se ha materializado el riesgo ya que, no hemos tenido hallazgos en el proceso de asignación de los subsidios de arrendamiento temporal realizados en este trimestre. </t>
    </r>
    <r>
      <rPr>
        <sz val="11"/>
        <color rgb="FFFF0000"/>
        <rFont val="Arial Narrow"/>
        <family val="2"/>
      </rPr>
      <t xml:space="preserve"> </t>
    </r>
    <r>
      <rPr>
        <sz val="11"/>
        <rFont val="Arial Narrow"/>
        <family val="2"/>
      </rPr>
      <t>Actualmente se cuenta con el ITM como operador del SDAT (CONVENIO INTERADMINISTRATIVO 619 de 2025), para este trimestre se cuenta con un total de 2.215 hogares beneficiarios del SDAT, a los cuales se les están realizando los desembolsos de manera permanente y en el marco del cumplimiento de requisitos.</t>
    </r>
    <r>
      <rPr>
        <sz val="11"/>
        <color rgb="FFFF0000"/>
        <rFont val="Arial Narrow"/>
        <family val="2"/>
      </rPr>
      <t xml:space="preserve"> </t>
    </r>
    <r>
      <rPr>
        <sz val="11"/>
        <rFont val="Arial Narrow"/>
        <family val="2"/>
      </rPr>
      <t>Resolución de asignación del SDAT vigencia 2026 N° 123 de 2026. 
Los Controles están bien  diseñados, se aplican de acuerdo al diseño y son efectivos? (Ver controles en la columna P / Concluir frente a cada control)
1.  Las asignaciones se han realizado en el marco de los procedimientos establecidos, y realizando la verificación del cumplimiento de requisitos de los hogares en el marco del decreto vigente, la  Resolución de asignación del SDAT vigencia 2026 N° 123 de 2026 y el  M-GS-05 - MANUAL PARA APLICACION DEL SUBSIDIO DE ARRENDAMIENTO TEMPORAL. 
2. Se ha realizado la revisión de los los perfiles, las hojas de vida en los estudios previos y de la idoneidad en el proceso de contratación. 
3. La supervisión del contrato del operador del proyecto de arrendamiento temporal, realizó las capacitaciones (jurídica, social, pagos, vinculaciones, cambio de vivienda, impedimentos)  del semestre en enero de 2026. 
4. El equipo de profesionales encargado del proceso verificó que el jefe de hogar haya firmado el acta de compromiso y la declaración juramentada donde asegura que la información y documentos suministrados son verídicos.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haciendo lo informado en el control 1.</t>
    </r>
  </si>
  <si>
    <t xml:space="preserve">Se materializó el Riesgo?  (Ver evento potencial principal en Columna F. Relacionar detalles de la materialización - que, como, cuando, donde):
No se ha materializado el riesgo ya que se esta implementando el M-GS-09 MANUAL PARA EL ACOMPAÑAMIENTO SOCIAL A LA POBLACIÓN SUJETO DE REASENTAMIENTO POR RIESGO DESASTRE Y EMERGENCIA, ya que actualmente se cuenta con el ITM como operador del SDAT (CONVENIO INTERADMINISTRATIVO 619 de 2025), para este trimestre se cuenta con un total de 2,215 hogares beneficiarios del SDAT, realizando los desembolsos de manera permanente y en el marco del cumplimiento de requisitos. Resolución de asignación del SDAT vigencia 2026 N° 123 de 2026. 
Los Controles están bien diseñados, se aplican de acuerdo al diseño y son efectivos? (Ver controles en la columna P / Concluir frente a cada control)
1. El procedimiento definido para tal efecto se cumple para las familias que incumplen requisitos, para este período el operador reportó 13 hogares, y pasó las resoluciones de terminación del SDAT, actualmente, el equipo del Isvimed realiza o realizó el trámite definido para la revisión de las resoluciones y las notificaciones a las familias de las mismas.
2. Se cumple con los parámetros de contratación establecidos y los procedimientos para la verificación de obligaciones y compromiso del beneficiario, las socializaciones realizadas con el equipo de trabajo, y la aplicación para el seguimiento a cumplimiento de requisitos para la asignación del subsidio y la misma asignación como tal. 
3. Se cuenta con la Resolución de asignación del SDAT vigencia 2026 N° 123 de 2026. 
Qué acciones propones o se están llevando a cabo para gestionar el riesgo que se materializó? (Si no aplica colocar N/A)
Se continua con la implmentación del procedimiento definido para agilizar las notificaciones de las resoluciones a las familias.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el proceso definido para el trámite como ISVIMED de las resoluciones de terminación del SDAT.
</t>
  </si>
  <si>
    <r>
      <t>Se materializó el Riesgo?  (Ver evento potencial principal en Columna F. Relacionar detalles de la materialización - que, como, cuando, donde):
No se materializó el riesgo, porque no se recibe ninguna PQRSD cuyo asunto sea la falta de atención y la deficiencia de acompañamiento social a las familias en el proceso de adjudicación definitiva de vivienda. Es de anotar que en este periodo se hace entrega a</t>
    </r>
    <r>
      <rPr>
        <sz val="11"/>
        <rFont val="Arial Narrow"/>
        <family val="2"/>
      </rPr>
      <t xml:space="preserve"> tres</t>
    </r>
    <r>
      <rPr>
        <sz val="11"/>
        <color theme="1"/>
        <rFont val="Arial Narrow"/>
        <family val="2"/>
      </rPr>
      <t xml:space="preserve"> hogares de Arrendamiento Temporal de la solución definitiva de vivienda nueva. Además, se esta haciendo el acompañamiento social a las 309 familias que participaron en la feria de vivienda soocial 2025, y en estas se resaltan las 234 familias que estan vinculadas desde la listados de elegibles, Colinas de Occidente 132 y Verde Agua: 102, el acompañamiento en este proceso de acceder a la soculucion de vivienda definitivase hace desde la implementacion de diferentes estrategicas.
Los Controles están bien  diseñados, se aplican de acuerdo al diseño  y son efectivos? (Ver controles en la columna P / Concluir frente a cada control)
1. Se cumplió con las parametros para la contratacion de personal en la línea.
2. El profesional lider de la linea de acción, verificó que los hogares priorizados participen en la estrategia de acompañamiento social, de acuerdo a sus condiciones socioeconomicas y disponibilidades de participación.
3. El profesional lider de la linea de acción verificó y hizo seguimiento a la participacion de los hogares priorizados en las diferentes actividades programadas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Continaur con la implementación del Semillero de Vivienda un Proyecto Familiar, las asesorias personalizadas, el relacionamiento con entidades para el gestionar con las familias condiciones para realizar cierre financiero, y la vinculación al proyecto para las familias de Verde Agua.</t>
    </r>
  </si>
  <si>
    <t>Se materializó el Riesgo?  (Ver evento potencial principal en Columna F. Relacionar detalles de la materialización - que, como, cuando, donde):
No se materializa el  riesgo, ya que no se han dado demandas de la comunidad, ni quejas de los desarrolladores por el acompañamiento social realizado en obra, se participó en los Comités Ciudadanos de Obra -CCO- del proyecto Brezze. Este acompañamieto se hace en el marco del marco de la guía de manejo socioambiental y del manual de acompañamiento social en obra.
Los Controles están bien  diseñados, se aplican de acuerdo al diseño  y son efectivos? (Ver controles en la columna P / Concluir frente a cada control)
0. Este control corresponde a la subdirección de Planeación, linea Planeación Urbana. 
1. El profesional líder de la línea de acompañamiento social en obra, identificó y sometió a aprobación de la Subdirección Poblacional, los recursos humanos necesarios para el acompañamiento social de acuerdo a los proyectos habitacionales a desarrollar en la vigencia y revisó que la contratación se diera en los tiempos establecidos.
2. El profesional social asignado verificó el cumplimiento de las actividades planteadas en la Guía de Manejo Socioambiental Distrital y el manual de acompañamiento social en obra.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Seguir participando en los CO y en los CCO, generando las alertas y posibles soluciones para situaciones que puedan afectar negativamente a la comunidad.</t>
  </si>
  <si>
    <r>
      <rPr>
        <sz val="11"/>
        <color rgb="FF000000"/>
        <rFont val="Arial Narrow"/>
        <family val="2"/>
      </rPr>
      <t xml:space="preserve">Se materializó el Riesgo?  (Ver evento potencial principal en Columna F. Relacionar detalles de la materialización - que, como, cuando, donde):
No se materializa el riesgo ya que no se han recibido PQRS, ni hemos tenido hallazgos por entes de control, ni requerimientos del Concejo de Medellín en este caso. Los expedientes remitidos por las líneas han sido revisados y posteriormente remitidos a la Subdirección Jurídica para la asignacion del SDV. Para este periodo se remitieron 50 expedientes a la subdirección jurídica para la asignación del SDV vivienda nueva y usada.
Los Controles están bien  diseñados, se aplican de acuerdo al diseño  y son efectivos? (Ver controles en la columna P / Concluir frente a cada control)
1. La profesional líder de la línea de Postulaciones y Entregas revisó el acto adminsitrativo de la feria de Vivienda con el FNA.
2. La profesional lider de la línea de Postulaciones y Entregas, cuando ha sido necesario, devuelve el expediente del hogar al lider de la línea de acción que lo remitió, con las observaciones que se deben subsanar. 
3. La profesional lider de la línea de Postulaciones y Entregas analizó cada postulación y verifico los cierres financieros. 
</t>
    </r>
    <r>
      <rPr>
        <sz val="11"/>
        <color rgb="FFFF0000"/>
        <rFont val="Arial Narrow"/>
        <family val="2"/>
      </rPr>
      <t xml:space="preserve">
</t>
    </r>
    <r>
      <rPr>
        <sz val="11"/>
        <color rgb="FF000000"/>
        <rFont val="Arial Narrow"/>
        <family val="2"/>
      </rPr>
      <t xml:space="preserve">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Se continuará con la revisión de los expedientes y si es el caso la devolución de los mismos.
</t>
    </r>
  </si>
  <si>
    <t>Se materializó el Riesgo?  (Ver evento potencial principal en Columna F. Relacionar detalles de la materialización - que, como, cuando, donde):
No se materializa el Evento Potencial Principal y sus Causas ya que no se han recibido PQRS, ni hallazgos por entes de control ni requerimientos del Concejo de Medellin en este caso. En este trimestre se entregaron 31 viviendas nuevas en los proyectos habitacionales La Colinita y La Playita para población de demanda libre, 3 de viviendas nuevas en el proyecto habitacional Ventto población de arrendamiento temporal, una vivienda usada población reasentada por obra pública.	
Los Controles están bien  diseñados, se aplican de acuerdo al diseño  y son efectivos? (Ver controles en la columna P / Concluir frente a cada control)
1. La mesa de seguimiento de escrituración, o mesa de seguimiento a apartamentos vacios, no ha sido activada en este periodo tiene por la Subdirección Financiera.
2. Las entregas se han realizado con la vialibilidad juridica emitida por la Subdirección Jurídica quien verifica el estado de cada trámite con el propósito de realizar las entregas en los tiempos programados. 
3. Los hogares  con novedades de cambio de estado civil, fallecimiento, incumplimiento del cierre financiero o renuncia del Jefe de hogar se remiten a la Subdirección Jurídica, para el tramité correspondiente.
4. Dado que la población de demanda libre aporta recursos para completar el valor de la vivienda, se respeta el derecho a la elección del bloque y apartamento que se realiza directamente con el desarrollador una vez se vincula a la Fiducia. Además, para la entrega de apartamentos pendientes en los proyectos habitacionales ya escriturados, los hogares ya participaron de un sorteo en otro momento. Por lo anterior, la profesional lider de la línea de Postulaciones y Entregas no realizó sorteo para ninguna de las viviendas entregas en este período.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el proceso de entrega de los inmuebes cumpliendo con las acciones definidas para tal efecto.</t>
  </si>
  <si>
    <t>Se materializó el Riesgo?  (Ver evento potencial principal en Columna F. Relacionar detalles de la materialización - que, como, cuando, donde):
No se materializó el riesgo teniendo en cuenta que se identificaron las viviendas de varias familias, con el acompañamiento realizado en el marco de lo definido en la normatividad.  Para este periodo se realizaron 11 recorridos de identificacion de viviendas, y se recibieron un total de 22 expedientes, correspondientes al Proyecto Metro de la 80 y los demás de Villa de los González.
Los Controles están bien  diseñados, se aplican de acuerdo al diseño  y son efectivos? (Ver controles en la columna P / Concluir frente a cada control)
El profesional líder de la línea de acción de reasentamiento por Obra Pública, devuelve los expedientes a la entidad contratante cuando se den las siguientes condiciones: - Se muestre mínimo 3 y máximo 6 opciones de vivienda usada por parte del Isvimed, sin que el beneficierio opte por alguna de ellas dentro de los 6 meses con que se cuenta dentro del proceso de reasentamiento de acuerdo a la normatividad vigente.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Se continuaran con los recorridos de identificación y en el proceso de revisión de los expedientes remitidos en el marco de los convenios.</t>
  </si>
  <si>
    <t>Se materializó el Riesgo?  (Ver evento potencial principal en Columna F. Relacionar detalles de la materialización - que, como, cuando, donde):
Para este período se ha materializado parcialmente el riesgo, porque, si bien no se han recibido PQRSD, se ha superado el 50% de hogares de demanda libre que no han cumplido los requisitos, para continuar en el proceso, esto se dio en el proyecto habitacional Verde Agua de 257 inscritos, continuaron 126, los demás fueron anulados por incumplimiento.
Los Controles están bien  diseñados, se aplican de acuerdo al diseño  y son efectivos? (Ver controles en la columna P / Concluir frente a cada control)
1. La profesional encargada de la línea de acompañamiento social a vivienda nueva, promovió con las constructoras y desarrolladores la oferta institucional del SDV para que haga parte del cierre financiero de los hogares, y validó con las constructuras la documentación para la vinculación de las familias al proyecto Verde Agua con soportes del cierre financiero.
2. La profesional encargada de la linea de acompañamiento social a vivienda nueva desarrollo con diferentes grupos el semillero de "Vivienda un proyecto familiar".
La profesional encargada de la línea de acompañamiento social a vivienda nueva verificó la efectividad del Semillero"Vivienda un Proyecto Familiar", y se vinculará a las familias que no han participado del mismo.
Qué acciones propones o se están llevando a cabo para gestionar el riesgo que se materializó? (Si no aplica colocar N/A)
Verifiacion del estado de la familia para el cierre financiero con los enlaces de las diferetnes entidades financieras para la consecucion del crédito hipotecario con el monto que se necesita.
Ofrecimiento del Semillero Vivienda un Proyecto Familiar.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la implementación y cualificación de las estrategias actuales. 
Relacionamiento con el sector financiero.
Implementación del Semillero de Vivienda un Proyecto Familiar.</t>
  </si>
  <si>
    <t>Se materializó el Riesgo?  (Ver evento potencial principal en Columna F. Relacionar detalles de la materialización - que, como, cuando, donde):
No se materializó el riesgo ya que desde la Subdirección Poblacional se hace el acompañamiento a los hogares, con variedad de actividades, la mayoría en territorio, realizando un total de 210 asistencias técnicas en este trimestre.
Los Controles están bien  diseñados, se aplican de acuerdo al diseño  y son efectivos? (Ver controles en la columna P / Concluir frente a cada control)
Se cumple con los protocolos establecidos de reporte de accidentes laborales, riesgo publico, seguridad y salud en el trabajo.
Qué acciones propones o se están llevando a cabo para gestionar el riesgo que se materializó? (Si no aplica colocar N/A)
N/A
Qué acciones propones o se están llevando a cabo para fortalecer los controles? (En el caso de que tener Acciones de mejora / Acciones correctivas en proceso, relacionar el avance. Si tienes acciones específicas a desarrollar en la columna AJ, también relacionar el avance)
Continuar con el cumplimiento de dichos protocolos para el desarrollo del trabajo en oficina y en territorio.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</si>
</sst>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9" x14ac:knownFonts="1">
    <font>
      <sz val="11"/>
      <color theme="1"/>
      <name val="Calibri"/>
      <family val="2"/>
      <scheme val="minor"/>
    </font>
    <font>
      <sz val="11"/>
      <color theme="1"/>
      <name val="Arial Narrow"/>
      <family val="2"/>
    </font>
    <font>
      <sz val="11"/>
      <name val="Arial Narrow"/>
      <family val="2"/>
    </font>
    <font>
      <sz val="10"/>
      <color rgb="FF000000"/>
      <name val="Arial Narrow"/>
      <family val="2"/>
    </font>
    <font>
      <b/>
      <sz val="11"/>
      <color theme="1"/>
      <name val="Arial Narrow"/>
      <family val="2"/>
    </font>
    <font>
      <sz val="10"/>
      <color theme="1"/>
      <name val="Calibri"/>
      <family val="2"/>
      <scheme val="minor"/>
    </font>
    <font>
      <b/>
      <sz val="11"/>
      <color theme="9" tint="-0.249977111117893"/>
      <name val="Arial Narrow"/>
      <family val="2"/>
    </font>
    <font>
      <sz val="18"/>
      <name val="Arial"/>
      <family val="2"/>
    </font>
    <font>
      <b/>
      <sz val="20"/>
      <color rgb="FF000000"/>
      <name val="Arial Narrow"/>
      <family val="2"/>
    </font>
    <font>
      <sz val="20"/>
      <color rgb="FF000000"/>
      <name val="Arial Narrow"/>
      <family val="2"/>
    </font>
    <font>
      <sz val="20"/>
      <color rgb="FFFFFFFF"/>
      <name val="Arial Narrow"/>
      <family val="2"/>
    </font>
    <font>
      <sz val="16"/>
      <color rgb="FF000000"/>
      <name val="Arial Narrow"/>
      <family val="2"/>
    </font>
    <font>
      <sz val="11"/>
      <color theme="0"/>
      <name val="Calibri"/>
      <family val="2"/>
      <scheme val="minor"/>
    </font>
    <font>
      <sz val="11"/>
      <color theme="1"/>
      <name val="Calibri"/>
      <family val="2"/>
      <scheme val="minor"/>
    </font>
    <font>
      <sz val="11"/>
      <name val="Calibri"/>
      <family val="2"/>
      <scheme val="minor"/>
    </font>
    <font>
      <sz val="16"/>
      <color theme="1"/>
      <name val="Calibri"/>
      <family val="2"/>
      <scheme val="minor"/>
    </font>
    <font>
      <b/>
      <sz val="18"/>
      <color theme="1"/>
      <name val="Arial Narrow"/>
      <family val="2"/>
    </font>
    <font>
      <sz val="11"/>
      <color rgb="FFFF0000"/>
      <name val="Calibri"/>
      <family val="2"/>
      <scheme val="minor"/>
    </font>
    <font>
      <sz val="16"/>
      <color rgb="FFFF0000"/>
      <name val="Arial Narrow"/>
      <family val="2"/>
    </font>
    <font>
      <sz val="16"/>
      <color rgb="FFFF0000"/>
      <name val="Calibri"/>
      <family val="2"/>
      <scheme val="minor"/>
    </font>
    <font>
      <sz val="11"/>
      <color rgb="FF030303"/>
      <name val="Arial"/>
      <family val="2"/>
    </font>
    <font>
      <sz val="26"/>
      <color rgb="FF000000"/>
      <name val="Arial Narrow"/>
      <family val="2"/>
    </font>
    <font>
      <sz val="26"/>
      <color rgb="FFFFFFFF"/>
      <name val="Arial Narrow"/>
      <family val="2"/>
    </font>
    <font>
      <sz val="12"/>
      <color theme="1"/>
      <name val="Arial Narrow"/>
      <family val="2"/>
    </font>
    <font>
      <sz val="12"/>
      <color theme="1"/>
      <name val="Calibri"/>
      <family val="2"/>
      <scheme val="minor"/>
    </font>
    <font>
      <b/>
      <sz val="12"/>
      <color rgb="FF000000"/>
      <name val="Arial Narrow"/>
      <family val="2"/>
    </font>
    <font>
      <sz val="12"/>
      <color rgb="FF000000"/>
      <name val="Arial Narrow"/>
      <family val="2"/>
    </font>
    <font>
      <b/>
      <sz val="12"/>
      <color theme="9" tint="-0.249977111117893"/>
      <name val="Arial Narrow"/>
      <family val="2"/>
    </font>
    <font>
      <b/>
      <sz val="14"/>
      <color rgb="FF000000"/>
      <name val="Arial Narrow"/>
      <family val="2"/>
    </font>
    <font>
      <b/>
      <sz val="12"/>
      <name val="Arial Narrow"/>
      <family val="2"/>
    </font>
    <font>
      <b/>
      <sz val="26"/>
      <color theme="1"/>
      <name val="Arial Narrow"/>
      <family val="2"/>
    </font>
    <font>
      <b/>
      <sz val="9"/>
      <color theme="1"/>
      <name val="Arial Narrow"/>
      <family val="2"/>
    </font>
    <font>
      <sz val="10"/>
      <name val="Arial"/>
      <family val="2"/>
    </font>
    <font>
      <sz val="12"/>
      <name val="Times New Roman"/>
      <family val="1"/>
    </font>
    <font>
      <sz val="10"/>
      <name val="Arial Narrow"/>
      <family val="2"/>
    </font>
    <font>
      <b/>
      <sz val="14"/>
      <name val="Arial Narrow"/>
      <family val="2"/>
    </font>
    <font>
      <b/>
      <sz val="11"/>
      <color theme="1" tint="4.9989318521683403E-2"/>
      <name val="Arial Narrow"/>
      <family val="2"/>
    </font>
    <font>
      <sz val="11"/>
      <color indexed="8"/>
      <name val="Arial Narrow"/>
      <family val="2"/>
    </font>
    <font>
      <sz val="14"/>
      <color rgb="FF000000"/>
      <name val="Arial Narrow"/>
      <family val="2"/>
    </font>
    <font>
      <b/>
      <sz val="11"/>
      <color theme="0"/>
      <name val="Arial Narrow"/>
      <family val="2"/>
    </font>
    <font>
      <sz val="12"/>
      <name val="Arial Narrow"/>
      <family val="2"/>
    </font>
    <font>
      <sz val="12"/>
      <color indexed="8"/>
      <name val="Arial Narrow"/>
      <family val="2"/>
    </font>
    <font>
      <b/>
      <sz val="20"/>
      <color theme="0"/>
      <name val="Arial Narrow"/>
      <family val="2"/>
    </font>
    <font>
      <b/>
      <sz val="12"/>
      <color theme="1"/>
      <name val="Arial Narrow"/>
      <family val="2"/>
    </font>
    <font>
      <b/>
      <sz val="14"/>
      <color theme="1"/>
      <name val="Arial Narrow"/>
      <family val="2"/>
    </font>
    <font>
      <b/>
      <sz val="14"/>
      <color theme="0"/>
      <name val="Arial Narrow"/>
      <family val="2"/>
    </font>
    <font>
      <sz val="8"/>
      <name val="Calibri"/>
      <family val="2"/>
      <scheme val="minor"/>
    </font>
    <font>
      <b/>
      <sz val="10"/>
      <color rgb="FFFF0000"/>
      <name val="Arial Narrow"/>
      <family val="2"/>
    </font>
    <font>
      <b/>
      <sz val="10"/>
      <color theme="1"/>
      <name val="Arial Narrow"/>
      <family val="2"/>
    </font>
    <font>
      <b/>
      <sz val="10"/>
      <name val="Arial Narrow"/>
      <family val="2"/>
    </font>
    <font>
      <b/>
      <sz val="10"/>
      <color theme="1"/>
      <name val="Arial"/>
      <family val="2"/>
    </font>
    <font>
      <sz val="10"/>
      <color theme="1"/>
      <name val="Arial"/>
      <family val="2"/>
    </font>
    <font>
      <b/>
      <sz val="11"/>
      <color theme="1"/>
      <name val="Calibri"/>
      <family val="2"/>
      <scheme val="minor"/>
    </font>
    <font>
      <b/>
      <sz val="10"/>
      <name val="Arial"/>
      <family val="2"/>
    </font>
    <font>
      <sz val="10"/>
      <name val="Tahoma"/>
      <family val="2"/>
    </font>
    <font>
      <b/>
      <sz val="10"/>
      <name val="Tahoma"/>
      <family val="2"/>
    </font>
    <font>
      <b/>
      <sz val="11"/>
      <name val="Arial"/>
      <family val="2"/>
    </font>
    <font>
      <sz val="11"/>
      <name val="Arial"/>
      <family val="2"/>
    </font>
    <font>
      <sz val="10"/>
      <color rgb="FFFF0000"/>
      <name val="Arial"/>
      <family val="2"/>
    </font>
    <font>
      <b/>
      <sz val="10"/>
      <color rgb="FF000000"/>
      <name val="Arial"/>
      <family val="2"/>
    </font>
    <font>
      <sz val="11"/>
      <color indexed="8"/>
      <name val="Calibri"/>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9"/>
      <color indexed="81"/>
      <name val="Tahoma"/>
      <family val="2"/>
    </font>
    <font>
      <sz val="9"/>
      <color indexed="81"/>
      <name val="Tahoma"/>
      <family val="2"/>
    </font>
    <font>
      <b/>
      <sz val="24"/>
      <name val="Arial"/>
      <family val="2"/>
    </font>
    <font>
      <b/>
      <sz val="12"/>
      <name val="Tahoma"/>
      <family val="2"/>
    </font>
    <font>
      <b/>
      <sz val="11"/>
      <name val="Tahoma"/>
      <family val="2"/>
    </font>
    <font>
      <sz val="11"/>
      <name val="Tahoma"/>
      <family val="2"/>
    </font>
    <font>
      <b/>
      <sz val="11"/>
      <name val="Calibri"/>
      <family val="2"/>
      <scheme val="minor"/>
    </font>
    <font>
      <b/>
      <sz val="14"/>
      <color theme="1"/>
      <name val="Calibri"/>
      <family val="2"/>
      <scheme val="minor"/>
    </font>
    <font>
      <sz val="14"/>
      <color theme="1"/>
      <name val="Calibri"/>
      <family val="2"/>
      <scheme val="minor"/>
    </font>
    <font>
      <sz val="11"/>
      <color rgb="FFFF0000"/>
      <name val="Arial Narrow"/>
      <family val="2"/>
    </font>
    <font>
      <sz val="11"/>
      <color rgb="FFC00000"/>
      <name val="Arial Narrow"/>
      <family val="2"/>
    </font>
    <font>
      <sz val="11"/>
      <color rgb="FF000000"/>
      <name val="Arial Narrow"/>
      <family val="2"/>
    </font>
    <font>
      <sz val="11"/>
      <color rgb="FF000000"/>
      <name val="Arial Narrow"/>
      <family val="2"/>
    </font>
  </fonts>
  <fills count="20">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rgb="FFFFFF66"/>
        <bgColor indexed="64"/>
      </patternFill>
    </fill>
    <fill>
      <patternFill patternType="solid">
        <fgColor rgb="FF92D050"/>
        <bgColor indexed="64"/>
      </patternFill>
    </fill>
    <fill>
      <patternFill patternType="solid">
        <fgColor rgb="FFBFBFBF"/>
        <bgColor indexed="64"/>
      </patternFill>
    </fill>
    <fill>
      <patternFill patternType="solid">
        <fgColor rgb="FF00B050"/>
        <bgColor indexed="64"/>
      </patternFill>
    </fill>
    <fill>
      <patternFill patternType="solid">
        <fgColor rgb="FFFFC000"/>
        <bgColor indexed="64"/>
      </patternFill>
    </fill>
    <fill>
      <patternFill patternType="solid">
        <fgColor rgb="FFFF0000"/>
        <bgColor indexed="64"/>
      </patternFill>
    </fill>
    <fill>
      <patternFill patternType="solid">
        <fgColor rgb="FFD9D9D9"/>
        <bgColor indexed="64"/>
      </patternFill>
    </fill>
    <fill>
      <patternFill patternType="solid">
        <fgColor rgb="FFFFFF00"/>
        <bgColor indexed="64"/>
      </patternFill>
    </fill>
    <fill>
      <patternFill patternType="solid">
        <fgColor theme="0" tint="-0.14999847407452621"/>
        <bgColor indexed="64"/>
      </patternFill>
    </fill>
    <fill>
      <patternFill patternType="solid">
        <fgColor rgb="FFFFFFFF"/>
        <bgColor indexed="64"/>
      </patternFill>
    </fill>
    <fill>
      <patternFill patternType="solid">
        <fgColor theme="0" tint="-0.249977111117893"/>
        <bgColor indexed="64"/>
      </patternFill>
    </fill>
    <fill>
      <patternFill patternType="solid">
        <fgColor theme="8" tint="-0.249977111117893"/>
        <bgColor indexed="64"/>
      </patternFill>
    </fill>
    <fill>
      <patternFill patternType="solid">
        <fgColor theme="8" tint="-0.499984740745262"/>
        <bgColor indexed="64"/>
      </patternFill>
    </fill>
    <fill>
      <patternFill patternType="solid">
        <fgColor theme="0" tint="-0.34998626667073579"/>
        <bgColor indexed="64"/>
      </patternFill>
    </fill>
    <fill>
      <patternFill patternType="solid">
        <fgColor indexed="9"/>
        <bgColor indexed="64"/>
      </patternFill>
    </fill>
    <fill>
      <patternFill patternType="solid">
        <fgColor rgb="FFFF6600"/>
        <bgColor indexed="64"/>
      </patternFill>
    </fill>
  </fills>
  <borders count="47">
    <border>
      <left/>
      <right/>
      <top/>
      <bottom/>
      <diagonal/>
    </border>
    <border>
      <left style="dotted">
        <color rgb="FFF79646"/>
      </left>
      <right style="dotted">
        <color rgb="FFF79646"/>
      </right>
      <top style="dotted">
        <color rgb="FFF79646"/>
      </top>
      <bottom style="dotted">
        <color rgb="FFF79646"/>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auto="1"/>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s>
  <cellStyleXfs count="7">
    <xf numFmtId="0" fontId="0" fillId="0" borderId="0"/>
    <xf numFmtId="9" fontId="13" fillId="0" borderId="0" applyFont="0" applyFill="0" applyBorder="0" applyAlignment="0" applyProtection="0"/>
    <xf numFmtId="0" fontId="32" fillId="0" borderId="0"/>
    <xf numFmtId="0" fontId="33" fillId="0" borderId="0"/>
    <xf numFmtId="0" fontId="5" fillId="0" borderId="0"/>
    <xf numFmtId="0" fontId="32" fillId="0" borderId="0"/>
    <xf numFmtId="0" fontId="60" fillId="0" borderId="0"/>
  </cellStyleXfs>
  <cellXfs count="497">
    <xf numFmtId="0" fontId="0" fillId="0" borderId="0" xfId="0"/>
    <xf numFmtId="0" fontId="5" fillId="0" borderId="0" xfId="0" applyFont="1"/>
    <xf numFmtId="0" fontId="3" fillId="0" borderId="1" xfId="0" applyFont="1" applyBorder="1" applyAlignment="1">
      <alignment horizontal="left" vertical="center" wrapText="1" indent="1" readingOrder="1"/>
    </xf>
    <xf numFmtId="0" fontId="7" fillId="0" borderId="0" xfId="0" applyFont="1" applyAlignment="1">
      <alignment horizontal="center" vertical="center" wrapText="1"/>
    </xf>
    <xf numFmtId="0" fontId="14" fillId="0" borderId="0" xfId="0" applyFont="1"/>
    <xf numFmtId="0" fontId="12" fillId="0" borderId="0" xfId="0" applyFont="1"/>
    <xf numFmtId="0" fontId="17" fillId="0" borderId="0" xfId="0" applyFont="1"/>
    <xf numFmtId="0" fontId="20" fillId="0" borderId="0" xfId="0" applyFont="1"/>
    <xf numFmtId="0" fontId="0" fillId="3" borderId="0" xfId="0" applyFill="1"/>
    <xf numFmtId="0" fontId="5" fillId="3" borderId="0" xfId="0" applyFont="1" applyFill="1"/>
    <xf numFmtId="0" fontId="24" fillId="3" borderId="0" xfId="0" applyFont="1" applyFill="1"/>
    <xf numFmtId="0" fontId="25" fillId="3" borderId="11" xfId="0" applyFont="1" applyFill="1" applyBorder="1" applyAlignment="1">
      <alignment horizontal="center" vertical="center" wrapText="1" readingOrder="1"/>
    </xf>
    <xf numFmtId="0" fontId="26" fillId="3" borderId="11" xfId="0" applyFont="1" applyFill="1" applyBorder="1" applyAlignment="1">
      <alignment horizontal="justify" vertical="center" wrapText="1" readingOrder="1"/>
    </xf>
    <xf numFmtId="9" fontId="25" fillId="3" borderId="20" xfId="0" applyNumberFormat="1" applyFont="1" applyFill="1" applyBorder="1" applyAlignment="1">
      <alignment horizontal="center" vertical="center" wrapText="1" readingOrder="1"/>
    </xf>
    <xf numFmtId="0" fontId="25" fillId="3" borderId="10" xfId="0" applyFont="1" applyFill="1" applyBorder="1" applyAlignment="1">
      <alignment horizontal="center" vertical="center" wrapText="1" readingOrder="1"/>
    </xf>
    <xf numFmtId="0" fontId="26" fillId="3" borderId="10" xfId="0" applyFont="1" applyFill="1" applyBorder="1" applyAlignment="1">
      <alignment horizontal="justify" vertical="center" wrapText="1" readingOrder="1"/>
    </xf>
    <xf numFmtId="9" fontId="25" fillId="3" borderId="15" xfId="0" applyNumberFormat="1" applyFont="1" applyFill="1" applyBorder="1" applyAlignment="1">
      <alignment horizontal="center" vertical="center" wrapText="1" readingOrder="1"/>
    </xf>
    <xf numFmtId="0" fontId="26" fillId="3" borderId="15" xfId="0" applyFont="1" applyFill="1" applyBorder="1" applyAlignment="1">
      <alignment horizontal="center" vertical="center" wrapText="1" readingOrder="1"/>
    </xf>
    <xf numFmtId="0" fontId="25" fillId="3" borderId="17" xfId="0" applyFont="1" applyFill="1" applyBorder="1" applyAlignment="1">
      <alignment horizontal="center" vertical="center" wrapText="1" readingOrder="1"/>
    </xf>
    <xf numFmtId="0" fontId="26" fillId="3" borderId="17" xfId="0" applyFont="1" applyFill="1" applyBorder="1" applyAlignment="1">
      <alignment horizontal="justify" vertical="center" wrapText="1" readingOrder="1"/>
    </xf>
    <xf numFmtId="0" fontId="26" fillId="3" borderId="18" xfId="0" applyFont="1" applyFill="1" applyBorder="1" applyAlignment="1">
      <alignment horizontal="center" vertical="center" wrapText="1" readingOrder="1"/>
    </xf>
    <xf numFmtId="0" fontId="31" fillId="3" borderId="0" xfId="0" applyFont="1" applyFill="1"/>
    <xf numFmtId="0" fontId="12" fillId="3" borderId="0" xfId="0" applyFont="1" applyFill="1"/>
    <xf numFmtId="0" fontId="4" fillId="3" borderId="0" xfId="0" applyFont="1" applyFill="1" applyAlignment="1">
      <alignment vertical="center"/>
    </xf>
    <xf numFmtId="0" fontId="14" fillId="3" borderId="0" xfId="0" applyFont="1" applyFill="1"/>
    <xf numFmtId="0" fontId="4" fillId="3" borderId="0" xfId="0" applyFont="1" applyFill="1" applyAlignment="1">
      <alignment horizontal="left" vertical="center"/>
    </xf>
    <xf numFmtId="0" fontId="1" fillId="0" borderId="10" xfId="0" applyFont="1" applyBorder="1" applyAlignment="1" applyProtection="1">
      <alignment horizontal="center" vertical="center"/>
      <protection hidden="1"/>
    </xf>
    <xf numFmtId="9" fontId="1" fillId="0" borderId="10" xfId="0" applyNumberFormat="1" applyFont="1" applyBorder="1" applyAlignment="1" applyProtection="1">
      <alignment horizontal="center" vertical="center"/>
      <protection hidden="1"/>
    </xf>
    <xf numFmtId="0" fontId="0" fillId="0" borderId="0" xfId="0" applyAlignment="1">
      <alignment horizontal="center" wrapText="1"/>
    </xf>
    <xf numFmtId="0" fontId="4" fillId="0" borderId="10" xfId="0" applyFont="1" applyBorder="1" applyAlignment="1" applyProtection="1">
      <alignment horizontal="center" vertical="center" textRotation="90" wrapText="1"/>
      <protection hidden="1"/>
    </xf>
    <xf numFmtId="0" fontId="30" fillId="0" borderId="0" xfId="0" applyFont="1" applyAlignment="1">
      <alignment horizontal="center" vertical="center"/>
    </xf>
    <xf numFmtId="0" fontId="25" fillId="3" borderId="14" xfId="0" applyFont="1" applyFill="1" applyBorder="1" applyAlignment="1">
      <alignment horizontal="center" vertical="center" wrapText="1" readingOrder="1"/>
    </xf>
    <xf numFmtId="0" fontId="30" fillId="0" borderId="0" xfId="0" applyFont="1" applyAlignment="1">
      <alignment vertical="center"/>
    </xf>
    <xf numFmtId="0" fontId="28" fillId="10" borderId="10" xfId="0" applyFont="1" applyFill="1" applyBorder="1" applyAlignment="1">
      <alignment horizontal="center" vertical="center" wrapText="1"/>
    </xf>
    <xf numFmtId="0" fontId="21" fillId="0" borderId="32" xfId="0" applyFont="1" applyBorder="1" applyAlignment="1">
      <alignment horizontal="justify" vertical="center" wrapText="1" readingOrder="1"/>
    </xf>
    <xf numFmtId="0" fontId="38" fillId="13" borderId="33" xfId="0" applyFont="1" applyFill="1" applyBorder="1" applyAlignment="1">
      <alignment vertical="center" wrapText="1"/>
    </xf>
    <xf numFmtId="0" fontId="38" fillId="13" borderId="34" xfId="0" applyFont="1" applyFill="1" applyBorder="1" applyAlignment="1">
      <alignment vertical="center" wrapText="1"/>
    </xf>
    <xf numFmtId="0" fontId="11" fillId="3" borderId="32" xfId="0" applyFont="1" applyFill="1" applyBorder="1" applyAlignment="1">
      <alignment horizontal="justify" vertical="center" wrapText="1" readingOrder="1"/>
    </xf>
    <xf numFmtId="0" fontId="38" fillId="13" borderId="35" xfId="0" applyFont="1" applyFill="1" applyBorder="1" applyAlignment="1">
      <alignment vertical="center" wrapText="1"/>
    </xf>
    <xf numFmtId="0" fontId="38" fillId="13" borderId="27" xfId="0" applyFont="1" applyFill="1" applyBorder="1" applyAlignment="1">
      <alignment vertical="center" wrapText="1"/>
    </xf>
    <xf numFmtId="0" fontId="38" fillId="13" borderId="31" xfId="0" applyFont="1" applyFill="1" applyBorder="1" applyAlignment="1">
      <alignment vertical="center" wrapText="1"/>
    </xf>
    <xf numFmtId="0" fontId="38" fillId="13" borderId="11" xfId="0" applyFont="1" applyFill="1" applyBorder="1" applyAlignment="1">
      <alignment vertical="center" wrapText="1"/>
    </xf>
    <xf numFmtId="0" fontId="11" fillId="3" borderId="0" xfId="0" applyFont="1" applyFill="1" applyAlignment="1">
      <alignment horizontal="justify" vertical="center" wrapText="1" readingOrder="1"/>
    </xf>
    <xf numFmtId="0" fontId="11" fillId="0" borderId="0" xfId="0" applyFont="1" applyAlignment="1">
      <alignment horizontal="justify" vertical="center" wrapText="1" readingOrder="1"/>
    </xf>
    <xf numFmtId="0" fontId="18" fillId="0" borderId="0" xfId="0" applyFont="1" applyAlignment="1">
      <alignment vertical="center"/>
    </xf>
    <xf numFmtId="0" fontId="19" fillId="0" borderId="0" xfId="0" applyFont="1"/>
    <xf numFmtId="0" fontId="25" fillId="14" borderId="22" xfId="0" applyFont="1" applyFill="1" applyBorder="1" applyAlignment="1">
      <alignment horizontal="center" vertical="center" wrapText="1" readingOrder="1"/>
    </xf>
    <xf numFmtId="0" fontId="25" fillId="14" borderId="23" xfId="0" applyFont="1" applyFill="1" applyBorder="1" applyAlignment="1">
      <alignment horizontal="center" vertical="center" wrapText="1" readingOrder="1"/>
    </xf>
    <xf numFmtId="0" fontId="8" fillId="6" borderId="10" xfId="0" applyFont="1" applyFill="1" applyBorder="1" applyAlignment="1">
      <alignment horizontal="center" vertical="center" wrapText="1" readingOrder="1"/>
    </xf>
    <xf numFmtId="0" fontId="9" fillId="0" borderId="10" xfId="0" applyFont="1" applyBorder="1" applyAlignment="1">
      <alignment horizontal="justify" vertical="center" wrapText="1" readingOrder="1"/>
    </xf>
    <xf numFmtId="9" fontId="9" fillId="0" borderId="10" xfId="0" applyNumberFormat="1" applyFont="1" applyBorder="1" applyAlignment="1">
      <alignment horizontal="center" vertical="center" wrapText="1" readingOrder="1"/>
    </xf>
    <xf numFmtId="0" fontId="9" fillId="5" borderId="10" xfId="0" applyFont="1" applyFill="1" applyBorder="1" applyAlignment="1">
      <alignment horizontal="center" vertical="center" wrapText="1" readingOrder="1"/>
    </xf>
    <xf numFmtId="0" fontId="9" fillId="7" borderId="10" xfId="0" applyFont="1" applyFill="1" applyBorder="1" applyAlignment="1">
      <alignment horizontal="center" vertical="center" wrapText="1" readingOrder="1"/>
    </xf>
    <xf numFmtId="0" fontId="9" fillId="4" borderId="10" xfId="0" applyFont="1" applyFill="1" applyBorder="1" applyAlignment="1">
      <alignment horizontal="center" vertical="center" wrapText="1" readingOrder="1"/>
    </xf>
    <xf numFmtId="0" fontId="9" fillId="8" borderId="10" xfId="0" applyFont="1" applyFill="1" applyBorder="1" applyAlignment="1">
      <alignment horizontal="center" vertical="center" wrapText="1" readingOrder="1"/>
    </xf>
    <xf numFmtId="0" fontId="10" fillId="9" borderId="10" xfId="0" applyFont="1" applyFill="1" applyBorder="1" applyAlignment="1">
      <alignment horizontal="center" vertical="center" wrapText="1" readingOrder="1"/>
    </xf>
    <xf numFmtId="0" fontId="38" fillId="13" borderId="0" xfId="0" applyFont="1" applyFill="1" applyAlignment="1">
      <alignment vertical="center" wrapText="1"/>
    </xf>
    <xf numFmtId="0" fontId="28" fillId="0" borderId="32" xfId="0" applyFont="1" applyBorder="1" applyAlignment="1">
      <alignment horizontal="center" vertical="center" wrapText="1"/>
    </xf>
    <xf numFmtId="0" fontId="25" fillId="3" borderId="0" xfId="0" applyFont="1" applyFill="1" applyAlignment="1">
      <alignment horizontal="center" vertical="center" wrapText="1" readingOrder="1"/>
    </xf>
    <xf numFmtId="0" fontId="26" fillId="3" borderId="0" xfId="0" applyFont="1" applyFill="1" applyAlignment="1">
      <alignment horizontal="justify" vertical="center" wrapText="1" readingOrder="1"/>
    </xf>
    <xf numFmtId="0" fontId="26" fillId="3" borderId="0" xfId="0" applyFont="1" applyFill="1" applyAlignment="1">
      <alignment horizontal="center" vertical="center" wrapText="1" readingOrder="1"/>
    </xf>
    <xf numFmtId="0" fontId="41" fillId="3" borderId="0" xfId="0" applyFont="1" applyFill="1" applyAlignment="1">
      <alignment horizontal="center" vertical="center"/>
    </xf>
    <xf numFmtId="0" fontId="34" fillId="0" borderId="0" xfId="0" applyFont="1"/>
    <xf numFmtId="0" fontId="41" fillId="14" borderId="10" xfId="0" applyFont="1" applyFill="1" applyBorder="1" applyAlignment="1">
      <alignment horizontal="left" vertical="center"/>
    </xf>
    <xf numFmtId="0" fontId="45" fillId="15" borderId="10" xfId="0" applyFont="1" applyFill="1" applyBorder="1" applyAlignment="1">
      <alignment horizontal="center" vertical="center"/>
    </xf>
    <xf numFmtId="0" fontId="45" fillId="15" borderId="10" xfId="0" applyFont="1" applyFill="1" applyBorder="1" applyAlignment="1">
      <alignment horizontal="center" vertical="center" wrapText="1"/>
    </xf>
    <xf numFmtId="0" fontId="41" fillId="3" borderId="28" xfId="0" applyFont="1" applyFill="1" applyBorder="1" applyAlignment="1">
      <alignment horizontal="center" vertical="center"/>
    </xf>
    <xf numFmtId="0" fontId="41" fillId="3" borderId="29" xfId="0" applyFont="1" applyFill="1" applyBorder="1" applyAlignment="1">
      <alignment horizontal="center" vertical="center"/>
    </xf>
    <xf numFmtId="0" fontId="41" fillId="3" borderId="10" xfId="0" applyFont="1" applyFill="1" applyBorder="1" applyAlignment="1">
      <alignment horizontal="center" vertical="center"/>
    </xf>
    <xf numFmtId="0" fontId="41" fillId="11" borderId="29" xfId="0" applyFont="1" applyFill="1" applyBorder="1" applyAlignment="1">
      <alignment horizontal="center" vertical="center"/>
    </xf>
    <xf numFmtId="0" fontId="41" fillId="11" borderId="28" xfId="0" applyFont="1" applyFill="1" applyBorder="1" applyAlignment="1">
      <alignment horizontal="center" vertical="center"/>
    </xf>
    <xf numFmtId="0" fontId="41" fillId="11" borderId="0" xfId="0" applyFont="1" applyFill="1" applyAlignment="1">
      <alignment horizontal="center" vertical="center"/>
    </xf>
    <xf numFmtId="0" fontId="1" fillId="3" borderId="0" xfId="0" applyFont="1" applyFill="1" applyProtection="1">
      <protection hidden="1"/>
    </xf>
    <xf numFmtId="0" fontId="1" fillId="0" borderId="0" xfId="0" applyFont="1" applyProtection="1">
      <protection hidden="1"/>
    </xf>
    <xf numFmtId="0" fontId="1" fillId="3" borderId="0" xfId="0" applyFont="1" applyFill="1" applyAlignment="1" applyProtection="1">
      <alignment horizontal="center" vertical="center"/>
      <protection hidden="1"/>
    </xf>
    <xf numFmtId="0" fontId="1" fillId="3" borderId="0" xfId="0" applyFont="1" applyFill="1" applyAlignment="1" applyProtection="1">
      <alignment horizontal="left" vertical="center"/>
      <protection hidden="1"/>
    </xf>
    <xf numFmtId="0" fontId="1" fillId="3" borderId="0" xfId="0" applyFont="1" applyFill="1" applyAlignment="1" applyProtection="1">
      <alignment horizontal="center"/>
      <protection hidden="1"/>
    </xf>
    <xf numFmtId="0" fontId="4" fillId="0" borderId="0" xfId="0" applyFont="1" applyAlignment="1" applyProtection="1">
      <alignment vertical="center"/>
      <protection hidden="1"/>
    </xf>
    <xf numFmtId="0" fontId="4" fillId="0" borderId="29" xfId="0" applyFont="1" applyBorder="1" applyAlignment="1" applyProtection="1">
      <alignment vertical="center"/>
      <protection hidden="1"/>
    </xf>
    <xf numFmtId="0" fontId="1" fillId="12" borderId="0" xfId="0" applyFont="1" applyFill="1" applyProtection="1">
      <protection hidden="1"/>
    </xf>
    <xf numFmtId="0" fontId="36" fillId="12" borderId="28" xfId="0" applyFont="1" applyFill="1" applyBorder="1" applyAlignment="1" applyProtection="1">
      <alignment horizontal="center" vertical="center" wrapText="1"/>
      <protection hidden="1"/>
    </xf>
    <xf numFmtId="0" fontId="4" fillId="3" borderId="0" xfId="0" applyFont="1" applyFill="1" applyAlignment="1" applyProtection="1">
      <alignment horizontal="center" vertical="center"/>
      <protection hidden="1"/>
    </xf>
    <xf numFmtId="0" fontId="4" fillId="2" borderId="0" xfId="0" applyFont="1" applyFill="1" applyAlignment="1" applyProtection="1">
      <alignment horizontal="center" vertical="center"/>
      <protection hidden="1"/>
    </xf>
    <xf numFmtId="0" fontId="1" fillId="0" borderId="10" xfId="0" applyFont="1" applyBorder="1" applyAlignment="1" applyProtection="1">
      <alignment vertical="center" wrapText="1"/>
      <protection hidden="1"/>
    </xf>
    <xf numFmtId="0" fontId="37" fillId="3" borderId="10" xfId="0" applyFont="1" applyFill="1" applyBorder="1" applyAlignment="1" applyProtection="1">
      <alignment horizontal="left" vertical="center" wrapText="1"/>
      <protection hidden="1"/>
    </xf>
    <xf numFmtId="164" fontId="1" fillId="0" borderId="10" xfId="1" applyNumberFormat="1" applyFont="1" applyBorder="1" applyAlignment="1" applyProtection="1">
      <alignment horizontal="center" vertical="center"/>
      <protection hidden="1"/>
    </xf>
    <xf numFmtId="0" fontId="1" fillId="3" borderId="0" xfId="0" applyFont="1" applyFill="1" applyAlignment="1" applyProtection="1">
      <alignment vertical="center"/>
      <protection hidden="1"/>
    </xf>
    <xf numFmtId="0" fontId="1" fillId="0" borderId="0" xfId="0" applyFont="1" applyAlignment="1" applyProtection="1">
      <alignment vertical="center"/>
      <protection hidden="1"/>
    </xf>
    <xf numFmtId="0" fontId="2" fillId="0" borderId="27" xfId="0" applyFont="1" applyBorder="1" applyAlignment="1" applyProtection="1">
      <alignment vertical="center" wrapText="1"/>
      <protection hidden="1"/>
    </xf>
    <xf numFmtId="0" fontId="1" fillId="0" borderId="0" xfId="0" applyFont="1" applyAlignment="1" applyProtection="1">
      <alignment vertical="center" wrapText="1"/>
      <protection hidden="1"/>
    </xf>
    <xf numFmtId="0" fontId="37" fillId="3" borderId="27" xfId="0" applyFont="1" applyFill="1" applyBorder="1" applyAlignment="1" applyProtection="1">
      <alignment vertical="center" wrapText="1"/>
      <protection hidden="1"/>
    </xf>
    <xf numFmtId="0" fontId="37" fillId="3" borderId="0" xfId="0" applyFont="1" applyFill="1" applyAlignment="1" applyProtection="1">
      <alignment horizontal="center" vertical="center" wrapText="1"/>
      <protection hidden="1"/>
    </xf>
    <xf numFmtId="0" fontId="2" fillId="3" borderId="10" xfId="0" applyFont="1" applyFill="1" applyBorder="1" applyAlignment="1" applyProtection="1">
      <alignment horizontal="center" vertical="center" wrapText="1"/>
      <protection hidden="1"/>
    </xf>
    <xf numFmtId="0" fontId="4" fillId="0" borderId="0" xfId="0" applyFont="1" applyAlignment="1" applyProtection="1">
      <alignment horizontal="left" vertical="center"/>
      <protection hidden="1"/>
    </xf>
    <xf numFmtId="0" fontId="1" fillId="0" borderId="0" xfId="0" applyFont="1" applyAlignment="1" applyProtection="1">
      <alignment horizontal="center" vertical="center"/>
      <protection hidden="1"/>
    </xf>
    <xf numFmtId="0" fontId="1" fillId="0" borderId="0" xfId="0" applyFont="1" applyAlignment="1" applyProtection="1">
      <alignment horizontal="center"/>
      <protection hidden="1"/>
    </xf>
    <xf numFmtId="0" fontId="37" fillId="0" borderId="10" xfId="0" applyFont="1" applyBorder="1" applyAlignment="1" applyProtection="1">
      <alignment horizontal="left" vertical="center" wrapText="1"/>
      <protection hidden="1"/>
    </xf>
    <xf numFmtId="0" fontId="2" fillId="3" borderId="10" xfId="0" applyFont="1" applyFill="1" applyBorder="1" applyAlignment="1" applyProtection="1">
      <alignment horizontal="left" vertical="center" wrapText="1"/>
      <protection hidden="1"/>
    </xf>
    <xf numFmtId="0" fontId="1" fillId="0" borderId="10" xfId="0" applyFont="1" applyBorder="1" applyAlignment="1" applyProtection="1">
      <alignment horizontal="left" vertical="center" wrapText="1"/>
      <protection hidden="1"/>
    </xf>
    <xf numFmtId="0" fontId="37" fillId="3" borderId="10" xfId="0" applyFont="1" applyFill="1" applyBorder="1" applyAlignment="1" applyProtection="1">
      <alignment vertical="center" wrapText="1"/>
      <protection hidden="1"/>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37" fillId="3" borderId="11" xfId="0" applyFont="1" applyFill="1" applyBorder="1" applyAlignment="1" applyProtection="1">
      <alignment horizontal="center" vertical="center" wrapText="1"/>
      <protection hidden="1"/>
    </xf>
    <xf numFmtId="0" fontId="37" fillId="3" borderId="10" xfId="0" applyFont="1" applyFill="1" applyBorder="1" applyAlignment="1" applyProtection="1">
      <alignment horizontal="center" vertical="center" wrapText="1"/>
      <protection hidden="1"/>
    </xf>
    <xf numFmtId="0" fontId="4" fillId="12" borderId="10" xfId="0" applyFont="1" applyFill="1" applyBorder="1" applyAlignment="1" applyProtection="1">
      <alignment horizontal="center" vertical="center" textRotation="90"/>
      <protection hidden="1"/>
    </xf>
    <xf numFmtId="0" fontId="4" fillId="12" borderId="10" xfId="0" applyFont="1" applyFill="1" applyBorder="1" applyAlignment="1" applyProtection="1">
      <alignment horizontal="center" vertical="center"/>
      <protection hidden="1"/>
    </xf>
    <xf numFmtId="0" fontId="1" fillId="12" borderId="10" xfId="0" applyFont="1" applyFill="1" applyBorder="1" applyAlignment="1" applyProtection="1">
      <alignment horizontal="center"/>
      <protection hidden="1"/>
    </xf>
    <xf numFmtId="0" fontId="1" fillId="12" borderId="10" xfId="0" applyFont="1" applyFill="1" applyBorder="1" applyAlignment="1" applyProtection="1">
      <alignment horizontal="center" vertical="center"/>
      <protection hidden="1"/>
    </xf>
    <xf numFmtId="14" fontId="1" fillId="0" borderId="10" xfId="0" applyNumberFormat="1" applyFont="1" applyBorder="1" applyAlignment="1" applyProtection="1">
      <alignment horizontal="center" vertical="center" wrapText="1"/>
      <protection hidden="1"/>
    </xf>
    <xf numFmtId="14" fontId="1" fillId="0" borderId="10" xfId="0" applyNumberFormat="1" applyFont="1" applyBorder="1" applyAlignment="1" applyProtection="1">
      <alignment horizontal="center" vertical="center"/>
      <protection hidden="1"/>
    </xf>
    <xf numFmtId="0" fontId="1" fillId="0" borderId="10" xfId="0" applyFont="1" applyBorder="1" applyAlignment="1" applyProtection="1">
      <alignment horizontal="center" vertical="center"/>
      <protection locked="0"/>
    </xf>
    <xf numFmtId="0" fontId="2"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justify" vertical="center" wrapText="1"/>
      <protection locked="0"/>
    </xf>
    <xf numFmtId="0" fontId="1" fillId="0" borderId="10" xfId="0" applyFont="1" applyBorder="1" applyAlignment="1" applyProtection="1">
      <alignment horizontal="center" vertical="center" textRotation="90"/>
      <protection locked="0"/>
    </xf>
    <xf numFmtId="164" fontId="1" fillId="0" borderId="10" xfId="1" applyNumberFormat="1" applyFont="1" applyBorder="1" applyAlignment="1">
      <alignment horizontal="center" vertical="center"/>
    </xf>
    <xf numFmtId="0" fontId="1" fillId="3" borderId="10" xfId="0" applyFont="1" applyFill="1" applyBorder="1" applyAlignment="1" applyProtection="1">
      <alignment vertical="center"/>
      <protection locked="0"/>
    </xf>
    <xf numFmtId="0" fontId="1" fillId="3" borderId="0" xfId="0" applyFont="1" applyFill="1"/>
    <xf numFmtId="0" fontId="1" fillId="0" borderId="0" xfId="0" applyFont="1"/>
    <xf numFmtId="0" fontId="1" fillId="3" borderId="10" xfId="0" applyFont="1" applyFill="1" applyBorder="1" applyProtection="1">
      <protection locked="0"/>
    </xf>
    <xf numFmtId="0" fontId="1" fillId="0" borderId="10" xfId="0" applyFont="1" applyBorder="1" applyAlignment="1" applyProtection="1">
      <alignment horizontal="justify" vertical="center"/>
      <protection locked="0"/>
    </xf>
    <xf numFmtId="0" fontId="1" fillId="0" borderId="10" xfId="0" applyFont="1" applyBorder="1" applyAlignment="1" applyProtection="1">
      <alignment horizontal="center" vertical="center" wrapText="1"/>
      <protection locked="0"/>
    </xf>
    <xf numFmtId="0" fontId="1" fillId="3" borderId="10" xfId="0" applyFont="1" applyFill="1" applyBorder="1" applyAlignment="1" applyProtection="1">
      <alignment wrapText="1"/>
      <protection locked="0"/>
    </xf>
    <xf numFmtId="0" fontId="1" fillId="0" borderId="27" xfId="0" applyFont="1" applyBorder="1" applyAlignment="1" applyProtection="1">
      <alignment vertical="center" wrapText="1"/>
      <protection locked="0"/>
    </xf>
    <xf numFmtId="0" fontId="50" fillId="0" borderId="0" xfId="0" applyFont="1" applyAlignment="1">
      <alignment horizontal="center" vertical="center" wrapText="1"/>
    </xf>
    <xf numFmtId="0" fontId="51" fillId="0" borderId="0" xfId="0" applyFont="1" applyAlignment="1">
      <alignment vertical="center" wrapText="1"/>
    </xf>
    <xf numFmtId="0" fontId="53" fillId="0" borderId="0" xfId="5" applyFont="1" applyAlignment="1">
      <alignment horizontal="center" vertical="center"/>
    </xf>
    <xf numFmtId="0" fontId="54" fillId="18" borderId="0" xfId="5" applyFont="1" applyFill="1"/>
    <xf numFmtId="0" fontId="55" fillId="18" borderId="0" xfId="5" applyFont="1" applyFill="1" applyAlignment="1">
      <alignment vertical="center" wrapText="1"/>
    </xf>
    <xf numFmtId="14" fontId="32" fillId="0" borderId="0" xfId="0" applyNumberFormat="1" applyFont="1" applyAlignment="1">
      <alignment horizontal="right" vertical="center" wrapText="1"/>
    </xf>
    <xf numFmtId="9" fontId="32" fillId="0" borderId="0" xfId="0" applyNumberFormat="1" applyFont="1" applyAlignment="1">
      <alignment horizontal="left" vertical="center" wrapText="1"/>
    </xf>
    <xf numFmtId="0" fontId="53" fillId="0" borderId="0" xfId="5" applyFont="1" applyAlignment="1">
      <alignment vertical="center"/>
    </xf>
    <xf numFmtId="0" fontId="32" fillId="18" borderId="0" xfId="5" applyFill="1"/>
    <xf numFmtId="0" fontId="32" fillId="18" borderId="0" xfId="5" applyFill="1" applyAlignment="1">
      <alignment horizontal="center" vertical="center"/>
    </xf>
    <xf numFmtId="0" fontId="32" fillId="18" borderId="0" xfId="5" applyFill="1" applyAlignment="1">
      <alignment horizontal="center"/>
    </xf>
    <xf numFmtId="0" fontId="53" fillId="0" borderId="0" xfId="0" applyFont="1" applyAlignment="1">
      <alignment horizontal="left" vertical="center" wrapText="1"/>
    </xf>
    <xf numFmtId="0" fontId="53" fillId="0" borderId="0" xfId="0" applyFont="1" applyAlignment="1">
      <alignment vertical="center" wrapText="1"/>
    </xf>
    <xf numFmtId="14" fontId="32" fillId="0" borderId="0" xfId="0" applyNumberFormat="1" applyFont="1" applyAlignment="1">
      <alignment vertical="center" wrapText="1"/>
    </xf>
    <xf numFmtId="14" fontId="53" fillId="0" borderId="0" xfId="0" applyNumberFormat="1" applyFont="1" applyAlignment="1">
      <alignment horizontal="center" vertical="center" wrapText="1"/>
    </xf>
    <xf numFmtId="14" fontId="32" fillId="0" borderId="0" xfId="0" applyNumberFormat="1" applyFont="1" applyAlignment="1">
      <alignment horizontal="left" vertical="center" wrapText="1"/>
    </xf>
    <xf numFmtId="0" fontId="56" fillId="0" borderId="10" xfId="5" applyFont="1" applyBorder="1" applyAlignment="1">
      <alignment vertical="center" wrapText="1"/>
    </xf>
    <xf numFmtId="0" fontId="56" fillId="0" borderId="0" xfId="5" applyFont="1" applyAlignment="1">
      <alignment vertical="center" wrapText="1"/>
    </xf>
    <xf numFmtId="0" fontId="57" fillId="3" borderId="0" xfId="5" applyFont="1" applyFill="1" applyAlignment="1">
      <alignment horizontal="left" vertical="center" wrapText="1"/>
    </xf>
    <xf numFmtId="0" fontId="32" fillId="18" borderId="2" xfId="5" applyFill="1" applyBorder="1"/>
    <xf numFmtId="0" fontId="32" fillId="18" borderId="9" xfId="5" applyFill="1" applyBorder="1"/>
    <xf numFmtId="0" fontId="53" fillId="0" borderId="19" xfId="5" applyFont="1" applyBorder="1" applyAlignment="1">
      <alignment vertical="center" wrapText="1"/>
    </xf>
    <xf numFmtId="0" fontId="53" fillId="0" borderId="11" xfId="5" applyFont="1" applyBorder="1" applyAlignment="1">
      <alignment vertical="center" wrapText="1"/>
    </xf>
    <xf numFmtId="0" fontId="53" fillId="0" borderId="10" xfId="5" applyFont="1" applyBorder="1" applyAlignment="1">
      <alignment horizontal="center" vertical="center" wrapText="1"/>
    </xf>
    <xf numFmtId="0" fontId="53" fillId="0" borderId="0" xfId="5" applyFont="1" applyAlignment="1">
      <alignment horizontal="center" vertical="center" wrapText="1"/>
    </xf>
    <xf numFmtId="0" fontId="32" fillId="0" borderId="2" xfId="5" applyBorder="1" applyAlignment="1">
      <alignment vertical="center" wrapText="1"/>
    </xf>
    <xf numFmtId="0" fontId="32" fillId="0" borderId="9" xfId="5" applyBorder="1" applyAlignment="1">
      <alignment vertical="center" wrapText="1"/>
    </xf>
    <xf numFmtId="0" fontId="32" fillId="0" borderId="4" xfId="5" applyBorder="1" applyAlignment="1">
      <alignment vertical="center" wrapText="1"/>
    </xf>
    <xf numFmtId="0" fontId="32" fillId="0" borderId="0" xfId="5" applyAlignment="1">
      <alignment vertical="center" wrapText="1"/>
    </xf>
    <xf numFmtId="9" fontId="32" fillId="0" borderId="10" xfId="5" applyNumberFormat="1" applyBorder="1" applyAlignment="1">
      <alignment horizontal="center" vertical="center" wrapText="1"/>
    </xf>
    <xf numFmtId="9" fontId="32" fillId="0" borderId="15" xfId="5" applyNumberFormat="1" applyBorder="1" applyAlignment="1">
      <alignment horizontal="center" vertical="center" wrapText="1"/>
    </xf>
    <xf numFmtId="0" fontId="58" fillId="0" borderId="0" xfId="5" applyFont="1" applyAlignment="1">
      <alignment vertical="center" wrapText="1"/>
    </xf>
    <xf numFmtId="0" fontId="32" fillId="0" borderId="0" xfId="5" applyAlignment="1">
      <alignment horizontal="center" vertical="center" wrapText="1"/>
    </xf>
    <xf numFmtId="0" fontId="53" fillId="0" borderId="19" xfId="5" applyFont="1" applyBorder="1" applyAlignment="1">
      <alignment horizontal="center" vertical="center" wrapText="1"/>
    </xf>
    <xf numFmtId="0" fontId="53" fillId="0" borderId="11" xfId="5" applyFont="1" applyBorder="1" applyAlignment="1">
      <alignment horizontal="center" vertical="center" wrapText="1"/>
    </xf>
    <xf numFmtId="0" fontId="53" fillId="0" borderId="28" xfId="5" applyFont="1" applyBorder="1" applyAlignment="1">
      <alignment horizontal="center" vertical="center" wrapText="1"/>
    </xf>
    <xf numFmtId="0" fontId="53" fillId="0" borderId="10" xfId="5" applyFont="1" applyBorder="1" applyAlignment="1">
      <alignment vertical="center" wrapText="1"/>
    </xf>
    <xf numFmtId="0" fontId="59" fillId="0" borderId="10" xfId="0" applyFont="1" applyBorder="1" applyAlignment="1">
      <alignment horizontal="center" vertical="center" wrapText="1" readingOrder="1"/>
    </xf>
    <xf numFmtId="0" fontId="59" fillId="0" borderId="15" xfId="0" applyFont="1" applyBorder="1" applyAlignment="1">
      <alignment horizontal="center" vertical="center" wrapText="1" readingOrder="1"/>
    </xf>
    <xf numFmtId="0" fontId="32" fillId="0" borderId="10" xfId="5" applyBorder="1" applyAlignment="1">
      <alignment vertical="center" wrapText="1"/>
    </xf>
    <xf numFmtId="0" fontId="32" fillId="0" borderId="10" xfId="0" applyFont="1" applyBorder="1" applyAlignment="1">
      <alignment horizontal="center" vertical="center" wrapText="1" readingOrder="1"/>
    </xf>
    <xf numFmtId="0" fontId="32" fillId="0" borderId="15" xfId="0" applyFont="1" applyBorder="1" applyAlignment="1">
      <alignment horizontal="center" vertical="center" wrapText="1" readingOrder="1"/>
    </xf>
    <xf numFmtId="0" fontId="61" fillId="0" borderId="0" xfId="6" applyFont="1"/>
    <xf numFmtId="0" fontId="32" fillId="0" borderId="14" xfId="5" applyBorder="1" applyAlignment="1">
      <alignment horizontal="center" vertical="center" wrapText="1"/>
    </xf>
    <xf numFmtId="0" fontId="32" fillId="0" borderId="10" xfId="5" applyBorder="1" applyAlignment="1">
      <alignment horizontal="justify" vertical="center" wrapText="1"/>
    </xf>
    <xf numFmtId="9" fontId="51" fillId="0" borderId="11" xfId="0" applyNumberFormat="1" applyFont="1" applyBorder="1" applyAlignment="1">
      <alignment horizontal="center" vertical="center" wrapText="1"/>
    </xf>
    <xf numFmtId="0" fontId="32" fillId="0" borderId="0" xfId="5" applyAlignment="1">
      <alignment horizontal="justify" vertical="center" wrapText="1"/>
    </xf>
    <xf numFmtId="0" fontId="62" fillId="19" borderId="10" xfId="0" applyFont="1" applyFill="1" applyBorder="1" applyAlignment="1">
      <alignment horizontal="center" vertical="center" wrapText="1" readingOrder="1"/>
    </xf>
    <xf numFmtId="0" fontId="32" fillId="9" borderId="15" xfId="0" applyFont="1" applyFill="1" applyBorder="1" applyAlignment="1">
      <alignment horizontal="center" vertical="center" wrapText="1" readingOrder="1"/>
    </xf>
    <xf numFmtId="9" fontId="32" fillId="0" borderId="14" xfId="5" applyNumberFormat="1" applyBorder="1" applyAlignment="1">
      <alignment horizontal="center" vertical="center" wrapText="1"/>
    </xf>
    <xf numFmtId="0" fontId="61" fillId="0" borderId="0" xfId="6" applyFont="1" applyAlignment="1">
      <alignment horizontal="center" vertical="center"/>
    </xf>
    <xf numFmtId="0" fontId="62" fillId="4" borderId="10" xfId="0" applyFont="1" applyFill="1" applyBorder="1" applyAlignment="1">
      <alignment horizontal="center" vertical="center" wrapText="1" readingOrder="1"/>
    </xf>
    <xf numFmtId="0" fontId="63" fillId="0" borderId="0" xfId="6" applyFont="1" applyAlignment="1">
      <alignment vertical="center" textRotation="90" wrapText="1"/>
    </xf>
    <xf numFmtId="0" fontId="64" fillId="0" borderId="0" xfId="6" applyFont="1" applyAlignment="1">
      <alignment horizontal="center" vertical="center" wrapText="1"/>
    </xf>
    <xf numFmtId="0" fontId="61" fillId="0" borderId="0" xfId="6" applyFont="1" applyAlignment="1">
      <alignment horizontal="center" vertical="center" wrapText="1"/>
    </xf>
    <xf numFmtId="0" fontId="62" fillId="5" borderId="10" xfId="0" applyFont="1" applyFill="1" applyBorder="1" applyAlignment="1">
      <alignment horizontal="center" vertical="center" wrapText="1" readingOrder="1"/>
    </xf>
    <xf numFmtId="0" fontId="59" fillId="0" borderId="17" xfId="0" applyFont="1" applyBorder="1" applyAlignment="1">
      <alignment horizontal="center" vertical="center" wrapText="1" readingOrder="1"/>
    </xf>
    <xf numFmtId="0" fontId="62" fillId="5" borderId="17" xfId="0" applyFont="1" applyFill="1" applyBorder="1" applyAlignment="1">
      <alignment horizontal="center" vertical="center" wrapText="1" readingOrder="1"/>
    </xf>
    <xf numFmtId="0" fontId="62" fillId="4" borderId="17" xfId="0" applyFont="1" applyFill="1" applyBorder="1" applyAlignment="1">
      <alignment horizontal="center" vertical="center" wrapText="1" readingOrder="1"/>
    </xf>
    <xf numFmtId="0" fontId="62" fillId="19" borderId="17" xfId="0" applyFont="1" applyFill="1" applyBorder="1" applyAlignment="1">
      <alignment horizontal="center" vertical="center" wrapText="1" readingOrder="1"/>
    </xf>
    <xf numFmtId="0" fontId="32" fillId="9" borderId="18" xfId="0" applyFont="1" applyFill="1" applyBorder="1" applyAlignment="1">
      <alignment horizontal="center" vertical="center" wrapText="1" readingOrder="1"/>
    </xf>
    <xf numFmtId="9" fontId="32" fillId="0" borderId="16" xfId="5" applyNumberFormat="1" applyBorder="1" applyAlignment="1">
      <alignment horizontal="center" vertical="center" wrapText="1"/>
    </xf>
    <xf numFmtId="0" fontId="32" fillId="0" borderId="17" xfId="0" applyFont="1" applyBorder="1" applyAlignment="1">
      <alignment horizontal="center" vertical="center" wrapText="1" readingOrder="1"/>
    </xf>
    <xf numFmtId="0" fontId="61" fillId="0" borderId="0" xfId="6" applyFont="1" applyAlignment="1">
      <alignment vertical="center"/>
    </xf>
    <xf numFmtId="0" fontId="32" fillId="9" borderId="10" xfId="0" applyFont="1" applyFill="1" applyBorder="1" applyAlignment="1">
      <alignment horizontal="center" vertical="center" wrapText="1" readingOrder="1"/>
    </xf>
    <xf numFmtId="0" fontId="58" fillId="0" borderId="0" xfId="0" applyFont="1" applyAlignment="1">
      <alignment vertical="center" readingOrder="1"/>
    </xf>
    <xf numFmtId="0" fontId="65" fillId="0" borderId="0" xfId="6" applyFont="1"/>
    <xf numFmtId="0" fontId="32" fillId="0" borderId="0" xfId="0" applyFont="1" applyAlignment="1">
      <alignment vertical="center"/>
    </xf>
    <xf numFmtId="0" fontId="32" fillId="0" borderId="0" xfId="0" applyFont="1" applyAlignment="1">
      <alignment vertical="center" readingOrder="1"/>
    </xf>
    <xf numFmtId="0" fontId="32" fillId="0" borderId="0" xfId="6" applyFont="1" applyAlignment="1">
      <alignment vertical="center"/>
    </xf>
    <xf numFmtId="0" fontId="32" fillId="18" borderId="0" xfId="5" applyFill="1" applyAlignment="1">
      <alignment horizontal="left"/>
    </xf>
    <xf numFmtId="0" fontId="53" fillId="0" borderId="0" xfId="0" applyFont="1" applyAlignment="1">
      <alignment horizontal="center" vertical="center" wrapText="1"/>
    </xf>
    <xf numFmtId="0" fontId="53" fillId="0" borderId="0" xfId="0" applyFont="1" applyAlignment="1">
      <alignment horizontal="right" vertical="center" wrapText="1"/>
    </xf>
    <xf numFmtId="0" fontId="57" fillId="3" borderId="0" xfId="5" applyFont="1" applyFill="1" applyAlignment="1">
      <alignment vertical="center" wrapText="1"/>
    </xf>
    <xf numFmtId="0" fontId="53" fillId="0" borderId="0" xfId="5" applyFont="1" applyAlignment="1">
      <alignment horizontal="left" vertical="center"/>
    </xf>
    <xf numFmtId="0" fontId="53" fillId="0" borderId="0" xfId="5" applyFont="1" applyAlignment="1">
      <alignment vertical="center" wrapText="1"/>
    </xf>
    <xf numFmtId="9" fontId="32" fillId="0" borderId="11" xfId="5" applyNumberFormat="1" applyBorder="1" applyAlignment="1">
      <alignment horizontal="center" vertical="center" wrapText="1"/>
    </xf>
    <xf numFmtId="9" fontId="51" fillId="0" borderId="11" xfId="0" applyNumberFormat="1" applyFont="1" applyBorder="1" applyAlignment="1">
      <alignment horizontal="left" vertical="center" wrapText="1"/>
    </xf>
    <xf numFmtId="0" fontId="32" fillId="0" borderId="0" xfId="5" applyAlignment="1">
      <alignment horizontal="left" vertical="center" wrapText="1"/>
    </xf>
    <xf numFmtId="0" fontId="56" fillId="0" borderId="0" xfId="5" applyFont="1" applyAlignment="1">
      <alignment horizontal="left" vertical="center" wrapText="1"/>
    </xf>
    <xf numFmtId="9" fontId="32" fillId="0" borderId="0" xfId="5" applyNumberFormat="1" applyAlignment="1">
      <alignment horizontal="center" vertical="center" wrapText="1"/>
    </xf>
    <xf numFmtId="9" fontId="51" fillId="0" borderId="0" xfId="0" applyNumberFormat="1" applyFont="1" applyAlignment="1">
      <alignment horizontal="center" vertical="center" wrapText="1"/>
    </xf>
    <xf numFmtId="9" fontId="51" fillId="0" borderId="0" xfId="0" applyNumberFormat="1" applyFont="1" applyAlignment="1">
      <alignment horizontal="left" vertical="center" wrapText="1"/>
    </xf>
    <xf numFmtId="0" fontId="69" fillId="0" borderId="0" xfId="5" applyFont="1" applyAlignment="1">
      <alignment horizontal="center" vertical="center"/>
    </xf>
    <xf numFmtId="0" fontId="69" fillId="0" borderId="0" xfId="5" applyFont="1" applyAlignment="1">
      <alignment vertical="center"/>
    </xf>
    <xf numFmtId="0" fontId="71" fillId="3" borderId="0" xfId="5" applyFont="1" applyFill="1" applyAlignment="1">
      <alignment vertical="center" wrapText="1"/>
    </xf>
    <xf numFmtId="0" fontId="70" fillId="3" borderId="0" xfId="5" applyFont="1" applyFill="1" applyAlignment="1">
      <alignment vertical="center" wrapText="1"/>
    </xf>
    <xf numFmtId="0" fontId="71" fillId="0" borderId="0" xfId="5" applyFont="1" applyAlignment="1">
      <alignment vertical="center" wrapText="1"/>
    </xf>
    <xf numFmtId="0" fontId="70" fillId="0" borderId="29" xfId="5" applyFont="1" applyBorder="1" applyAlignment="1">
      <alignment vertical="center" wrapText="1"/>
    </xf>
    <xf numFmtId="0" fontId="57" fillId="3" borderId="29" xfId="5" applyFont="1" applyFill="1" applyBorder="1" applyAlignment="1">
      <alignment horizontal="left" vertical="center" wrapText="1"/>
    </xf>
    <xf numFmtId="0" fontId="70" fillId="0" borderId="10" xfId="5" applyFont="1" applyBorder="1" applyAlignment="1">
      <alignment vertical="center" wrapText="1"/>
    </xf>
    <xf numFmtId="0" fontId="0" fillId="3" borderId="0" xfId="0" applyFill="1" applyAlignment="1">
      <alignment vertical="top" wrapText="1"/>
    </xf>
    <xf numFmtId="0" fontId="52" fillId="0" borderId="10" xfId="0" applyFont="1" applyBorder="1"/>
    <xf numFmtId="0" fontId="52" fillId="0" borderId="0" xfId="0" applyFont="1"/>
    <xf numFmtId="0" fontId="0" fillId="0" borderId="10" xfId="0" applyBorder="1"/>
    <xf numFmtId="0" fontId="0" fillId="0" borderId="10" xfId="0" applyBorder="1" applyAlignment="1">
      <alignment horizontal="center"/>
    </xf>
    <xf numFmtId="9" fontId="0" fillId="0" borderId="10" xfId="0" applyNumberFormat="1" applyBorder="1" applyAlignment="1">
      <alignment horizontal="center"/>
    </xf>
    <xf numFmtId="0" fontId="0" fillId="0" borderId="0" xfId="0" applyAlignment="1">
      <alignment horizontal="center" vertical="center"/>
    </xf>
    <xf numFmtId="0" fontId="52" fillId="0" borderId="10" xfId="0" applyFont="1" applyBorder="1" applyAlignment="1">
      <alignment horizontal="center" vertical="center"/>
    </xf>
    <xf numFmtId="0" fontId="15" fillId="0" borderId="10" xfId="0" applyFont="1" applyBorder="1" applyAlignment="1">
      <alignment horizontal="center" vertical="center"/>
    </xf>
    <xf numFmtId="0" fontId="73" fillId="0" borderId="10" xfId="0" applyFont="1" applyBorder="1" applyAlignment="1">
      <alignment horizontal="center" vertical="center"/>
    </xf>
    <xf numFmtId="0" fontId="74" fillId="0" borderId="10" xfId="0" applyFont="1" applyBorder="1" applyAlignment="1">
      <alignment horizontal="center"/>
    </xf>
    <xf numFmtId="0" fontId="52" fillId="0" borderId="0" xfId="0" applyFont="1" applyAlignment="1">
      <alignment horizontal="center" vertical="center"/>
    </xf>
    <xf numFmtId="0" fontId="0" fillId="0" borderId="0" xfId="0" applyAlignment="1">
      <alignment horizontal="center"/>
    </xf>
    <xf numFmtId="0" fontId="0" fillId="3" borderId="4" xfId="0" applyFill="1" applyBorder="1" applyAlignment="1">
      <alignment horizontal="left" vertical="top" wrapText="1"/>
    </xf>
    <xf numFmtId="0" fontId="0" fillId="3" borderId="0" xfId="0" applyFill="1" applyAlignment="1">
      <alignment horizontal="left" vertical="top" wrapText="1"/>
    </xf>
    <xf numFmtId="0" fontId="0" fillId="3" borderId="5" xfId="0" applyFill="1" applyBorder="1" applyAlignment="1">
      <alignment horizontal="left" vertical="top" wrapText="1"/>
    </xf>
    <xf numFmtId="0" fontId="0" fillId="3" borderId="6" xfId="0" applyFill="1" applyBorder="1" applyAlignment="1">
      <alignment horizontal="left" vertical="top" wrapText="1"/>
    </xf>
    <xf numFmtId="0" fontId="0" fillId="3" borderId="8" xfId="0" applyFill="1" applyBorder="1" applyAlignment="1">
      <alignment horizontal="left" vertical="top" wrapText="1"/>
    </xf>
    <xf numFmtId="0" fontId="0" fillId="3" borderId="7" xfId="0" applyFill="1" applyBorder="1" applyAlignment="1">
      <alignment horizontal="left" vertical="top" wrapText="1"/>
    </xf>
    <xf numFmtId="0" fontId="52" fillId="0" borderId="28" xfId="0" applyFont="1" applyBorder="1" applyAlignment="1">
      <alignment horizontal="center"/>
    </xf>
    <xf numFmtId="0" fontId="52" fillId="0" borderId="30" xfId="0" applyFont="1" applyBorder="1" applyAlignment="1">
      <alignment horizontal="center"/>
    </xf>
    <xf numFmtId="0" fontId="52" fillId="0" borderId="10" xfId="0" applyFont="1" applyBorder="1" applyAlignment="1">
      <alignment horizontal="center"/>
    </xf>
    <xf numFmtId="0" fontId="70" fillId="0" borderId="28" xfId="5" applyFont="1" applyBorder="1" applyAlignment="1">
      <alignment horizontal="center" vertical="center" wrapText="1"/>
    </xf>
    <xf numFmtId="0" fontId="70" fillId="0" borderId="29" xfId="5" applyFont="1" applyBorder="1" applyAlignment="1">
      <alignment horizontal="center" vertical="center" wrapText="1"/>
    </xf>
    <xf numFmtId="0" fontId="70" fillId="0" borderId="30" xfId="5" applyFont="1" applyBorder="1" applyAlignment="1">
      <alignment horizontal="center" vertical="center" wrapText="1"/>
    </xf>
    <xf numFmtId="0" fontId="57" fillId="3" borderId="10" xfId="5" applyFont="1" applyFill="1" applyBorder="1" applyAlignment="1">
      <alignment horizontal="left" vertical="center" wrapText="1"/>
    </xf>
    <xf numFmtId="0" fontId="57" fillId="3" borderId="11" xfId="5" applyFont="1" applyFill="1" applyBorder="1" applyAlignment="1">
      <alignment horizontal="left" vertical="center" wrapText="1"/>
    </xf>
    <xf numFmtId="0" fontId="72" fillId="3" borderId="12" xfId="0" applyFont="1" applyFill="1" applyBorder="1" applyAlignment="1">
      <alignment horizontal="center" vertical="center"/>
    </xf>
    <xf numFmtId="0" fontId="72" fillId="3" borderId="13" xfId="0" applyFont="1" applyFill="1" applyBorder="1" applyAlignment="1">
      <alignment horizontal="center" vertical="center"/>
    </xf>
    <xf numFmtId="0" fontId="72" fillId="3" borderId="24" xfId="0" applyFont="1" applyFill="1" applyBorder="1" applyAlignment="1">
      <alignment horizontal="center" vertical="center"/>
    </xf>
    <xf numFmtId="0" fontId="0" fillId="3" borderId="2" xfId="0" applyFill="1" applyBorder="1" applyAlignment="1">
      <alignment vertical="top" wrapText="1"/>
    </xf>
    <xf numFmtId="0" fontId="0" fillId="3" borderId="9" xfId="0" applyFill="1" applyBorder="1" applyAlignment="1">
      <alignment vertical="top" wrapText="1"/>
    </xf>
    <xf numFmtId="0" fontId="0" fillId="3" borderId="3" xfId="0" applyFill="1" applyBorder="1" applyAlignment="1">
      <alignment vertical="top" wrapText="1"/>
    </xf>
    <xf numFmtId="0" fontId="0" fillId="3" borderId="4" xfId="0" applyFill="1" applyBorder="1" applyAlignment="1">
      <alignment horizontal="left" vertical="top"/>
    </xf>
    <xf numFmtId="0" fontId="0" fillId="3" borderId="0" xfId="0" applyFill="1" applyAlignment="1">
      <alignment horizontal="left" vertical="top"/>
    </xf>
    <xf numFmtId="0" fontId="0" fillId="3" borderId="5" xfId="0" applyFill="1" applyBorder="1" applyAlignment="1">
      <alignment horizontal="left" vertical="top"/>
    </xf>
    <xf numFmtId="0" fontId="40" fillId="0" borderId="36" xfId="0" applyFont="1" applyBorder="1" applyAlignment="1">
      <alignment horizontal="center" vertical="center"/>
    </xf>
    <xf numFmtId="0" fontId="40" fillId="0" borderId="32" xfId="0" applyFont="1" applyBorder="1" applyAlignment="1">
      <alignment horizontal="center" vertical="center"/>
    </xf>
    <xf numFmtId="0" fontId="40" fillId="0" borderId="37" xfId="0" applyFont="1" applyBorder="1" applyAlignment="1">
      <alignment horizontal="center" vertical="center"/>
    </xf>
    <xf numFmtId="0" fontId="35" fillId="0" borderId="36" xfId="0" applyFont="1" applyBorder="1" applyAlignment="1">
      <alignment horizontal="center" vertical="center"/>
    </xf>
    <xf numFmtId="0" fontId="35" fillId="0" borderId="25" xfId="0" applyFont="1" applyBorder="1" applyAlignment="1">
      <alignment horizontal="center" vertical="center"/>
    </xf>
    <xf numFmtId="0" fontId="35" fillId="0" borderId="33" xfId="0" applyFont="1" applyBorder="1" applyAlignment="1">
      <alignment horizontal="center" vertical="center"/>
    </xf>
    <xf numFmtId="0" fontId="35" fillId="0" borderId="32" xfId="0" applyFont="1" applyBorder="1" applyAlignment="1">
      <alignment horizontal="center" vertical="center"/>
    </xf>
    <xf numFmtId="0" fontId="35" fillId="0" borderId="0" xfId="0" applyFont="1" applyAlignment="1">
      <alignment horizontal="center" vertical="center"/>
    </xf>
    <xf numFmtId="0" fontId="35" fillId="0" borderId="34" xfId="0" applyFont="1" applyBorder="1" applyAlignment="1">
      <alignment horizontal="center" vertical="center"/>
    </xf>
    <xf numFmtId="0" fontId="35" fillId="0" borderId="37" xfId="0" applyFont="1" applyBorder="1" applyAlignment="1">
      <alignment horizontal="center" vertical="center"/>
    </xf>
    <xf numFmtId="0" fontId="35" fillId="0" borderId="26" xfId="0" applyFont="1" applyBorder="1" applyAlignment="1">
      <alignment horizontal="center" vertical="center"/>
    </xf>
    <xf numFmtId="0" fontId="35" fillId="0" borderId="35" xfId="0" applyFont="1" applyBorder="1" applyAlignment="1">
      <alignment horizontal="center" vertical="center"/>
    </xf>
    <xf numFmtId="0" fontId="29" fillId="0" borderId="10" xfId="0" applyFont="1" applyBorder="1" applyAlignment="1">
      <alignment horizontal="left" vertical="center"/>
    </xf>
    <xf numFmtId="0" fontId="45" fillId="15" borderId="10" xfId="0" applyFont="1" applyFill="1" applyBorder="1" applyAlignment="1">
      <alignment horizontal="center" vertical="center" wrapText="1"/>
    </xf>
    <xf numFmtId="0" fontId="45" fillId="15" borderId="10" xfId="0" applyFont="1" applyFill="1" applyBorder="1" applyAlignment="1">
      <alignment horizontal="center" vertical="center"/>
    </xf>
    <xf numFmtId="0" fontId="41" fillId="3" borderId="28" xfId="0" applyFont="1" applyFill="1" applyBorder="1" applyAlignment="1">
      <alignment horizontal="center" vertical="center"/>
    </xf>
    <xf numFmtId="0" fontId="41" fillId="3" borderId="30" xfId="0" applyFont="1" applyFill="1" applyBorder="1" applyAlignment="1">
      <alignment horizontal="center" vertical="center"/>
    </xf>
    <xf numFmtId="0" fontId="41" fillId="3" borderId="28" xfId="0" applyFont="1" applyFill="1" applyBorder="1" applyAlignment="1">
      <alignment horizontal="center" vertical="center" wrapText="1"/>
    </xf>
    <xf numFmtId="0" fontId="41" fillId="3" borderId="29" xfId="0" applyFont="1" applyFill="1" applyBorder="1" applyAlignment="1">
      <alignment horizontal="center" vertical="center" wrapText="1"/>
    </xf>
    <xf numFmtId="0" fontId="41" fillId="3" borderId="30" xfId="0" applyFont="1" applyFill="1" applyBorder="1" applyAlignment="1">
      <alignment horizontal="center" vertical="center" wrapText="1"/>
    </xf>
    <xf numFmtId="0" fontId="41" fillId="3" borderId="29" xfId="0" applyFont="1" applyFill="1" applyBorder="1" applyAlignment="1">
      <alignment horizontal="center" vertical="center"/>
    </xf>
    <xf numFmtId="0" fontId="42" fillId="15" borderId="0" xfId="0" applyFont="1" applyFill="1" applyAlignment="1">
      <alignment horizontal="center" vertical="center"/>
    </xf>
    <xf numFmtId="0" fontId="41" fillId="14" borderId="10" xfId="0" applyFont="1" applyFill="1" applyBorder="1" applyAlignment="1">
      <alignment horizontal="left" vertical="center"/>
    </xf>
    <xf numFmtId="0" fontId="41" fillId="3" borderId="10" xfId="0" applyFont="1" applyFill="1" applyBorder="1" applyAlignment="1">
      <alignment horizontal="center" vertical="center"/>
    </xf>
    <xf numFmtId="0" fontId="41" fillId="14" borderId="11" xfId="0" applyFont="1" applyFill="1" applyBorder="1" applyAlignment="1">
      <alignment horizontal="left" vertical="center"/>
    </xf>
    <xf numFmtId="0" fontId="41" fillId="3" borderId="28" xfId="0" applyFont="1" applyFill="1" applyBorder="1" applyAlignment="1">
      <alignment horizontal="center" wrapText="1"/>
    </xf>
    <xf numFmtId="0" fontId="41" fillId="3" borderId="29" xfId="0" applyFont="1" applyFill="1" applyBorder="1" applyAlignment="1">
      <alignment horizontal="center"/>
    </xf>
    <xf numFmtId="0" fontId="41" fillId="3" borderId="30" xfId="0" applyFont="1" applyFill="1" applyBorder="1" applyAlignment="1">
      <alignment horizontal="center"/>
    </xf>
    <xf numFmtId="0" fontId="1" fillId="3" borderId="27" xfId="0" applyFont="1" applyFill="1" applyBorder="1" applyAlignment="1" applyProtection="1">
      <alignment horizontal="left" vertical="top" wrapText="1"/>
      <protection locked="0"/>
    </xf>
    <xf numFmtId="0" fontId="1" fillId="3" borderId="31" xfId="0" applyFont="1" applyFill="1" applyBorder="1" applyAlignment="1" applyProtection="1">
      <alignment horizontal="left" vertical="top" wrapText="1"/>
      <protection locked="0"/>
    </xf>
    <xf numFmtId="0" fontId="2" fillId="3" borderId="27" xfId="0" applyFont="1" applyFill="1" applyBorder="1" applyAlignment="1" applyProtection="1">
      <alignment horizontal="left" vertical="top" wrapText="1"/>
      <protection locked="0"/>
    </xf>
    <xf numFmtId="0" fontId="2" fillId="3" borderId="31" xfId="0" applyFont="1" applyFill="1" applyBorder="1" applyAlignment="1" applyProtection="1">
      <alignment horizontal="left" vertical="top" wrapText="1"/>
      <protection locked="0"/>
    </xf>
    <xf numFmtId="0" fontId="2" fillId="3" borderId="11"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protection locked="0"/>
    </xf>
    <xf numFmtId="0" fontId="1" fillId="0" borderId="27" xfId="0" applyFont="1" applyBorder="1" applyAlignment="1" applyProtection="1">
      <alignment horizontal="left" vertical="top" wrapText="1"/>
      <protection locked="0"/>
    </xf>
    <xf numFmtId="0" fontId="1" fillId="0" borderId="31" xfId="0" applyFont="1" applyBorder="1" applyAlignment="1" applyProtection="1">
      <alignment horizontal="left" vertical="top" wrapText="1"/>
      <protection locked="0"/>
    </xf>
    <xf numFmtId="0" fontId="1" fillId="0" borderId="11" xfId="0" applyFont="1" applyBorder="1" applyAlignment="1" applyProtection="1">
      <alignment horizontal="left" vertical="top" wrapText="1"/>
      <protection locked="0"/>
    </xf>
    <xf numFmtId="0" fontId="2" fillId="3" borderId="10" xfId="0" applyFont="1" applyFill="1" applyBorder="1" applyAlignment="1" applyProtection="1">
      <alignment horizontal="left" vertical="top" wrapText="1"/>
      <protection locked="0"/>
    </xf>
    <xf numFmtId="0" fontId="2" fillId="3" borderId="10" xfId="0" applyFont="1" applyFill="1" applyBorder="1" applyAlignment="1" applyProtection="1">
      <alignment horizontal="left" vertical="top"/>
      <protection locked="0"/>
    </xf>
    <xf numFmtId="0" fontId="2" fillId="0" borderId="10" xfId="0" applyFont="1" applyBorder="1" applyAlignment="1" applyProtection="1">
      <alignment horizontal="left" vertical="top" wrapText="1"/>
      <protection locked="0"/>
    </xf>
    <xf numFmtId="0" fontId="2" fillId="0" borderId="10" xfId="0" applyFont="1" applyBorder="1" applyAlignment="1" applyProtection="1">
      <alignment horizontal="left" vertical="top"/>
      <protection locked="0"/>
    </xf>
    <xf numFmtId="0" fontId="2" fillId="0" borderId="27" xfId="0" applyFont="1" applyBorder="1" applyAlignment="1" applyProtection="1">
      <alignment horizontal="left" vertical="top" wrapText="1"/>
      <protection locked="0"/>
    </xf>
    <xf numFmtId="0" fontId="2" fillId="0" borderId="31" xfId="0" applyFont="1" applyBorder="1" applyAlignment="1" applyProtection="1">
      <alignment horizontal="left" vertical="top" wrapText="1"/>
      <protection locked="0"/>
    </xf>
    <xf numFmtId="0" fontId="2" fillId="0" borderId="11" xfId="0" applyFont="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4" fillId="12" borderId="27" xfId="0" applyFont="1" applyFill="1" applyBorder="1" applyAlignment="1" applyProtection="1">
      <alignment horizontal="center" vertical="center" wrapText="1"/>
      <protection locked="0"/>
    </xf>
    <xf numFmtId="0" fontId="4" fillId="12" borderId="31" xfId="0" applyFont="1" applyFill="1" applyBorder="1" applyAlignment="1" applyProtection="1">
      <alignment horizontal="center" vertical="center" wrapText="1"/>
      <protection locked="0"/>
    </xf>
    <xf numFmtId="0" fontId="4" fillId="12" borderId="11" xfId="0" applyFont="1" applyFill="1" applyBorder="1" applyAlignment="1" applyProtection="1">
      <alignment horizontal="center" vertical="center" wrapText="1"/>
      <protection locked="0"/>
    </xf>
    <xf numFmtId="164" fontId="1" fillId="0" borderId="27" xfId="1" applyNumberFormat="1" applyFont="1" applyBorder="1" applyAlignment="1" applyProtection="1">
      <alignment horizontal="center" vertical="center"/>
      <protection hidden="1"/>
    </xf>
    <xf numFmtId="164" fontId="1" fillId="0" borderId="31" xfId="1" applyNumberFormat="1" applyFont="1" applyBorder="1" applyAlignment="1" applyProtection="1">
      <alignment horizontal="center" vertical="center"/>
      <protection hidden="1"/>
    </xf>
    <xf numFmtId="0" fontId="1" fillId="0" borderId="27" xfId="0" applyFont="1" applyBorder="1" applyAlignment="1" applyProtection="1">
      <alignment horizontal="center" vertical="center" textRotation="90"/>
      <protection hidden="1"/>
    </xf>
    <xf numFmtId="0" fontId="1" fillId="0" borderId="31" xfId="0" applyFont="1" applyBorder="1" applyAlignment="1" applyProtection="1">
      <alignment horizontal="center" vertical="center" textRotation="90"/>
      <protection hidden="1"/>
    </xf>
    <xf numFmtId="0" fontId="1" fillId="3" borderId="27" xfId="0" applyFont="1" applyFill="1" applyBorder="1" applyAlignment="1" applyProtection="1">
      <alignment horizontal="center" vertical="center" wrapText="1"/>
      <protection hidden="1"/>
    </xf>
    <xf numFmtId="0" fontId="1" fillId="3" borderId="31" xfId="0" applyFont="1" applyFill="1" applyBorder="1" applyAlignment="1" applyProtection="1">
      <alignment horizontal="center" vertical="center" wrapText="1"/>
      <protection hidden="1"/>
    </xf>
    <xf numFmtId="0" fontId="1" fillId="3" borderId="11" xfId="0" applyFont="1" applyFill="1" applyBorder="1" applyAlignment="1" applyProtection="1">
      <alignment horizontal="center" vertical="center" wrapText="1"/>
      <protection hidden="1"/>
    </xf>
    <xf numFmtId="0" fontId="75" fillId="0" borderId="27" xfId="0" applyFont="1" applyBorder="1" applyAlignment="1" applyProtection="1">
      <alignment horizontal="left" vertical="top" wrapText="1"/>
      <protection locked="0"/>
    </xf>
    <xf numFmtId="0" fontId="75" fillId="0" borderId="31" xfId="0" applyFont="1" applyBorder="1" applyAlignment="1" applyProtection="1">
      <alignment horizontal="left" vertical="top" wrapText="1"/>
      <protection locked="0"/>
    </xf>
    <xf numFmtId="0" fontId="75" fillId="0" borderId="11" xfId="0" applyFont="1" applyBorder="1" applyAlignment="1" applyProtection="1">
      <alignment horizontal="left" vertical="top" wrapText="1"/>
      <protection locked="0"/>
    </xf>
    <xf numFmtId="0" fontId="1" fillId="0" borderId="28" xfId="0" applyFont="1" applyBorder="1" applyAlignment="1" applyProtection="1">
      <alignment horizontal="left" vertical="top" wrapText="1"/>
      <protection hidden="1"/>
    </xf>
    <xf numFmtId="0" fontId="1" fillId="0" borderId="29" xfId="0" applyFont="1" applyBorder="1" applyAlignment="1" applyProtection="1">
      <alignment horizontal="left" vertical="top" wrapText="1"/>
      <protection hidden="1"/>
    </xf>
    <xf numFmtId="0" fontId="1" fillId="0" borderId="30" xfId="0" applyFont="1" applyBorder="1" applyAlignment="1" applyProtection="1">
      <alignment horizontal="left" vertical="top" wrapText="1"/>
      <protection hidden="1"/>
    </xf>
    <xf numFmtId="0" fontId="4" fillId="0" borderId="27" xfId="0" applyFont="1" applyBorder="1" applyAlignment="1" applyProtection="1">
      <alignment horizontal="center" vertical="center" textRotation="90" wrapText="1"/>
      <protection hidden="1"/>
    </xf>
    <xf numFmtId="0" fontId="4" fillId="0" borderId="31" xfId="0" applyFont="1" applyBorder="1" applyAlignment="1" applyProtection="1">
      <alignment horizontal="center" vertical="center" textRotation="90" wrapText="1"/>
      <protection hidden="1"/>
    </xf>
    <xf numFmtId="0" fontId="4" fillId="0" borderId="11" xfId="0" applyFont="1" applyBorder="1" applyAlignment="1" applyProtection="1">
      <alignment horizontal="center" vertical="center" textRotation="90" wrapText="1"/>
      <protection hidden="1"/>
    </xf>
    <xf numFmtId="164" fontId="1" fillId="0" borderId="11" xfId="1" applyNumberFormat="1" applyFont="1" applyBorder="1" applyAlignment="1" applyProtection="1">
      <alignment horizontal="center" vertical="center"/>
      <protection hidden="1"/>
    </xf>
    <xf numFmtId="0" fontId="4" fillId="0" borderId="27" xfId="0" applyFont="1" applyBorder="1" applyAlignment="1" applyProtection="1">
      <alignment horizontal="center" vertical="center" textRotation="90"/>
      <protection hidden="1"/>
    </xf>
    <xf numFmtId="0" fontId="4" fillId="0" borderId="31" xfId="0" applyFont="1" applyBorder="1" applyAlignment="1" applyProtection="1">
      <alignment horizontal="center" vertical="center" textRotation="90"/>
      <protection hidden="1"/>
    </xf>
    <xf numFmtId="0" fontId="4" fillId="0" borderId="11" xfId="0" applyFont="1" applyBorder="1" applyAlignment="1" applyProtection="1">
      <alignment horizontal="center" vertical="center" textRotation="90"/>
      <protection hidden="1"/>
    </xf>
    <xf numFmtId="0" fontId="1" fillId="0" borderId="11" xfId="0" applyFont="1" applyBorder="1" applyAlignment="1" applyProtection="1">
      <alignment horizontal="center" vertical="center" textRotation="90"/>
      <protection hidden="1"/>
    </xf>
    <xf numFmtId="0" fontId="4" fillId="0" borderId="27" xfId="0" applyFont="1" applyBorder="1" applyAlignment="1" applyProtection="1">
      <alignment horizontal="center" vertical="center" textRotation="90" wrapText="1"/>
      <protection locked="0" hidden="1"/>
    </xf>
    <xf numFmtId="0" fontId="4" fillId="0" borderId="31" xfId="0" applyFont="1" applyBorder="1" applyAlignment="1" applyProtection="1">
      <alignment horizontal="center" vertical="center" textRotation="90" wrapText="1"/>
      <protection locked="0" hidden="1"/>
    </xf>
    <xf numFmtId="9" fontId="1" fillId="0" borderId="10" xfId="0" applyNumberFormat="1"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locked="0"/>
    </xf>
    <xf numFmtId="0" fontId="1" fillId="0" borderId="31" xfId="0" applyFont="1" applyBorder="1" applyAlignment="1" applyProtection="1">
      <alignment horizontal="center" vertical="center" wrapText="1"/>
      <protection locked="0"/>
    </xf>
    <xf numFmtId="0" fontId="2" fillId="0" borderId="27" xfId="0" applyFont="1" applyBorder="1" applyAlignment="1" applyProtection="1">
      <alignment horizontal="center" vertical="center" wrapText="1"/>
      <protection locked="0"/>
    </xf>
    <xf numFmtId="0" fontId="2" fillId="0" borderId="31" xfId="0" applyFont="1" applyBorder="1" applyAlignment="1" applyProtection="1">
      <alignment horizontal="center" vertical="center" wrapText="1"/>
      <protection locked="0"/>
    </xf>
    <xf numFmtId="0" fontId="1" fillId="0" borderId="27" xfId="0" applyFont="1" applyBorder="1" applyAlignment="1" applyProtection="1">
      <alignment horizontal="center" vertical="center" textRotation="90"/>
      <protection locked="0"/>
    </xf>
    <xf numFmtId="0" fontId="1" fillId="0" borderId="31" xfId="0" applyFont="1" applyBorder="1" applyAlignment="1" applyProtection="1">
      <alignment horizontal="center" vertical="center" textRotation="90"/>
      <protection locked="0"/>
    </xf>
    <xf numFmtId="0" fontId="1" fillId="0" borderId="10" xfId="0" applyFont="1" applyBorder="1" applyAlignment="1" applyProtection="1">
      <alignment horizontal="left" vertical="center" wrapText="1"/>
      <protection hidden="1"/>
    </xf>
    <xf numFmtId="9" fontId="1" fillId="0" borderId="27" xfId="0" applyNumberFormat="1" applyFont="1" applyBorder="1" applyAlignment="1" applyProtection="1">
      <alignment horizontal="center" vertical="center" wrapText="1"/>
      <protection hidden="1"/>
    </xf>
    <xf numFmtId="9" fontId="1" fillId="0" borderId="31" xfId="0" applyNumberFormat="1" applyFont="1" applyBorder="1" applyAlignment="1" applyProtection="1">
      <alignment horizontal="center" vertical="center" wrapText="1"/>
      <protection hidden="1"/>
    </xf>
    <xf numFmtId="9" fontId="1" fillId="0" borderId="11" xfId="0" applyNumberFormat="1"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locked="0"/>
    </xf>
    <xf numFmtId="164" fontId="1" fillId="0" borderId="27" xfId="1" applyNumberFormat="1" applyFont="1" applyBorder="1" applyAlignment="1">
      <alignment horizontal="center" vertical="center"/>
    </xf>
    <xf numFmtId="164" fontId="1" fillId="0" borderId="31" xfId="1" applyNumberFormat="1" applyFont="1" applyBorder="1" applyAlignment="1">
      <alignment horizontal="center" vertical="center"/>
    </xf>
    <xf numFmtId="164" fontId="1" fillId="0" borderId="11" xfId="1" applyNumberFormat="1" applyFont="1" applyBorder="1" applyAlignment="1">
      <alignment horizontal="center" vertical="center"/>
    </xf>
    <xf numFmtId="9" fontId="1" fillId="0" borderId="27" xfId="0" applyNumberFormat="1" applyFont="1" applyBorder="1" applyAlignment="1" applyProtection="1">
      <alignment horizontal="center" vertical="center"/>
      <protection hidden="1"/>
    </xf>
    <xf numFmtId="9" fontId="1" fillId="0" borderId="31" xfId="0" applyNumberFormat="1" applyFont="1" applyBorder="1" applyAlignment="1" applyProtection="1">
      <alignment horizontal="center" vertical="center"/>
      <protection hidden="1"/>
    </xf>
    <xf numFmtId="9" fontId="1" fillId="0" borderId="11" xfId="0" applyNumberFormat="1" applyFont="1" applyBorder="1" applyAlignment="1" applyProtection="1">
      <alignment horizontal="center" vertical="center"/>
      <protection hidden="1"/>
    </xf>
    <xf numFmtId="0" fontId="1" fillId="0" borderId="27" xfId="0" applyFont="1" applyBorder="1" applyAlignment="1" applyProtection="1">
      <alignment horizontal="center" vertical="center"/>
      <protection locked="0"/>
    </xf>
    <xf numFmtId="0" fontId="1" fillId="0" borderId="31" xfId="0" applyFont="1" applyBorder="1" applyAlignment="1" applyProtection="1">
      <alignment horizontal="center" vertical="center"/>
      <protection locked="0"/>
    </xf>
    <xf numFmtId="0" fontId="1" fillId="0" borderId="11" xfId="0" applyFont="1" applyBorder="1" applyAlignment="1" applyProtection="1">
      <alignment horizontal="center" vertical="center"/>
      <protection locked="0"/>
    </xf>
    <xf numFmtId="0" fontId="4" fillId="0" borderId="10" xfId="0" applyFont="1" applyBorder="1" applyAlignment="1" applyProtection="1">
      <alignment horizontal="center" vertical="center" textRotation="90"/>
      <protection hidden="1"/>
    </xf>
    <xf numFmtId="0" fontId="1" fillId="0" borderId="10" xfId="0" applyFont="1" applyBorder="1" applyAlignment="1" applyProtection="1">
      <alignment vertical="top" wrapText="1"/>
      <protection hidden="1"/>
    </xf>
    <xf numFmtId="0" fontId="1" fillId="0" borderId="28" xfId="0" applyFont="1" applyBorder="1" applyAlignment="1" applyProtection="1">
      <alignment vertical="top" wrapText="1"/>
      <protection hidden="1"/>
    </xf>
    <xf numFmtId="0" fontId="1" fillId="0" borderId="29" xfId="0" applyFont="1" applyBorder="1" applyAlignment="1" applyProtection="1">
      <alignment vertical="top" wrapText="1"/>
      <protection hidden="1"/>
    </xf>
    <xf numFmtId="0" fontId="1" fillId="0" borderId="30" xfId="0" applyFont="1" applyBorder="1" applyAlignment="1" applyProtection="1">
      <alignment vertical="top" wrapText="1"/>
      <protection hidden="1"/>
    </xf>
    <xf numFmtId="0" fontId="2" fillId="3" borderId="27" xfId="0" applyFont="1" applyFill="1" applyBorder="1" applyAlignment="1" applyProtection="1">
      <alignment horizontal="center" vertical="center" wrapText="1"/>
      <protection hidden="1"/>
    </xf>
    <xf numFmtId="0" fontId="2" fillId="3" borderId="11" xfId="0" applyFont="1" applyFill="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textRotation="90"/>
      <protection locked="0"/>
    </xf>
    <xf numFmtId="0" fontId="1" fillId="0" borderId="10"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textRotation="90"/>
      <protection hidden="1"/>
    </xf>
    <xf numFmtId="0" fontId="1" fillId="0" borderId="10" xfId="0" applyFont="1" applyBorder="1" applyAlignment="1" applyProtection="1">
      <alignment horizontal="center" vertical="center" wrapText="1"/>
      <protection hidden="1"/>
    </xf>
    <xf numFmtId="0" fontId="2" fillId="0" borderId="10" xfId="0" applyFont="1" applyBorder="1" applyAlignment="1" applyProtection="1">
      <alignment horizontal="center" vertical="center" wrapText="1"/>
      <protection hidden="1"/>
    </xf>
    <xf numFmtId="0" fontId="1" fillId="0" borderId="27" xfId="0" applyFont="1" applyBorder="1" applyAlignment="1" applyProtection="1">
      <alignment horizontal="center" vertical="center" wrapText="1"/>
      <protection hidden="1"/>
    </xf>
    <xf numFmtId="0" fontId="1" fillId="0" borderId="31" xfId="0" applyFont="1" applyBorder="1" applyAlignment="1" applyProtection="1">
      <alignment horizontal="center" vertical="center" wrapText="1"/>
      <protection hidden="1"/>
    </xf>
    <xf numFmtId="0" fontId="1" fillId="0" borderId="11" xfId="0" applyFont="1" applyBorder="1" applyAlignment="1" applyProtection="1">
      <alignment horizontal="center" vertical="center" wrapText="1"/>
      <protection hidden="1"/>
    </xf>
    <xf numFmtId="0" fontId="2" fillId="3" borderId="31" xfId="0" applyFont="1" applyFill="1" applyBorder="1" applyAlignment="1" applyProtection="1">
      <alignment horizontal="center" vertical="center" wrapText="1"/>
      <protection hidden="1"/>
    </xf>
    <xf numFmtId="0" fontId="37" fillId="3" borderId="27" xfId="0" applyFont="1" applyFill="1" applyBorder="1" applyAlignment="1" applyProtection="1">
      <alignment horizontal="center" vertical="center" wrapText="1"/>
      <protection hidden="1"/>
    </xf>
    <xf numFmtId="0" fontId="37" fillId="3" borderId="31" xfId="0" applyFont="1" applyFill="1" applyBorder="1" applyAlignment="1" applyProtection="1">
      <alignment horizontal="center" vertical="center" wrapText="1"/>
      <protection hidden="1"/>
    </xf>
    <xf numFmtId="0" fontId="37" fillId="3" borderId="11" xfId="0" applyFont="1" applyFill="1" applyBorder="1" applyAlignment="1" applyProtection="1">
      <alignment horizontal="center" vertical="center" wrapText="1"/>
      <protection hidden="1"/>
    </xf>
    <xf numFmtId="0" fontId="1" fillId="3" borderId="10" xfId="0" applyFont="1" applyFill="1" applyBorder="1" applyAlignment="1" applyProtection="1">
      <alignment horizontal="center" vertical="center" wrapText="1"/>
      <protection hidden="1"/>
    </xf>
    <xf numFmtId="0" fontId="1" fillId="12" borderId="10" xfId="0" applyFont="1" applyFill="1" applyBorder="1" applyAlignment="1" applyProtection="1">
      <alignment horizontal="center" vertical="center"/>
      <protection hidden="1"/>
    </xf>
    <xf numFmtId="0" fontId="1" fillId="0" borderId="28" xfId="0" applyFont="1" applyBorder="1" applyAlignment="1" applyProtection="1">
      <alignment horizontal="left" vertical="center" wrapText="1"/>
      <protection hidden="1"/>
    </xf>
    <xf numFmtId="0" fontId="1" fillId="0" borderId="29" xfId="0" applyFont="1" applyBorder="1" applyAlignment="1" applyProtection="1">
      <alignment horizontal="left" vertical="center" wrapText="1"/>
      <protection hidden="1"/>
    </xf>
    <xf numFmtId="0" fontId="1" fillId="0" borderId="30" xfId="0" applyFont="1" applyBorder="1" applyAlignment="1" applyProtection="1">
      <alignment horizontal="left" vertical="center" wrapText="1"/>
      <protection hidden="1"/>
    </xf>
    <xf numFmtId="0" fontId="0" fillId="0" borderId="11" xfId="0" applyBorder="1" applyAlignment="1">
      <alignment horizontal="center" vertical="center" textRotation="90"/>
    </xf>
    <xf numFmtId="0" fontId="2" fillId="0" borderId="27" xfId="0" applyFont="1" applyBorder="1" applyAlignment="1" applyProtection="1">
      <alignment horizontal="center" vertical="center" wrapText="1"/>
      <protection hidden="1"/>
    </xf>
    <xf numFmtId="0" fontId="2" fillId="0" borderId="31"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1" fillId="0" borderId="10" xfId="0" applyFont="1" applyBorder="1" applyAlignment="1" applyProtection="1">
      <alignment horizontal="center"/>
      <protection hidden="1"/>
    </xf>
    <xf numFmtId="0" fontId="44" fillId="0" borderId="36" xfId="0" applyFont="1" applyBorder="1" applyAlignment="1" applyProtection="1">
      <alignment horizontal="center" vertical="center"/>
      <protection hidden="1"/>
    </xf>
    <xf numFmtId="0" fontId="44" fillId="0" borderId="25" xfId="0" applyFont="1" applyBorder="1" applyAlignment="1" applyProtection="1">
      <alignment horizontal="center" vertical="center"/>
      <protection hidden="1"/>
    </xf>
    <xf numFmtId="0" fontId="44" fillId="0" borderId="33" xfId="0" applyFont="1" applyBorder="1" applyAlignment="1" applyProtection="1">
      <alignment horizontal="center" vertical="center"/>
      <protection hidden="1"/>
    </xf>
    <xf numFmtId="0" fontId="44" fillId="0" borderId="32" xfId="0" applyFont="1" applyBorder="1" applyAlignment="1" applyProtection="1">
      <alignment horizontal="center" vertical="center"/>
      <protection hidden="1"/>
    </xf>
    <xf numFmtId="0" fontId="44" fillId="0" borderId="0" xfId="0" applyFont="1" applyAlignment="1" applyProtection="1">
      <alignment horizontal="center" vertical="center"/>
      <protection hidden="1"/>
    </xf>
    <xf numFmtId="0" fontId="44" fillId="0" borderId="34" xfId="0" applyFont="1" applyBorder="1" applyAlignment="1" applyProtection="1">
      <alignment horizontal="center" vertical="center"/>
      <protection hidden="1"/>
    </xf>
    <xf numFmtId="0" fontId="44" fillId="0" borderId="37" xfId="0" applyFont="1" applyBorder="1" applyAlignment="1" applyProtection="1">
      <alignment horizontal="center" vertical="center"/>
      <protection hidden="1"/>
    </xf>
    <xf numFmtId="0" fontId="44" fillId="0" borderId="26" xfId="0" applyFont="1" applyBorder="1" applyAlignment="1" applyProtection="1">
      <alignment horizontal="center" vertical="center"/>
      <protection hidden="1"/>
    </xf>
    <xf numFmtId="0" fontId="44" fillId="0" borderId="35" xfId="0" applyFont="1" applyBorder="1" applyAlignment="1" applyProtection="1">
      <alignment horizontal="center" vertical="center"/>
      <protection hidden="1"/>
    </xf>
    <xf numFmtId="0" fontId="4" fillId="17" borderId="27" xfId="0" applyFont="1" applyFill="1" applyBorder="1" applyAlignment="1" applyProtection="1">
      <alignment horizontal="center" vertical="center" textRotation="90" wrapText="1"/>
      <protection hidden="1"/>
    </xf>
    <xf numFmtId="0" fontId="4" fillId="17" borderId="11" xfId="0" applyFont="1" applyFill="1" applyBorder="1" applyAlignment="1" applyProtection="1">
      <alignment horizontal="center" vertical="center" textRotation="90" wrapText="1"/>
      <protection hidden="1"/>
    </xf>
    <xf numFmtId="0" fontId="4" fillId="12" borderId="27" xfId="0" applyFont="1" applyFill="1" applyBorder="1" applyAlignment="1" applyProtection="1">
      <alignment horizontal="center" vertical="center" textRotation="90" wrapText="1"/>
      <protection hidden="1"/>
    </xf>
    <xf numFmtId="0" fontId="4" fillId="12" borderId="11" xfId="0" applyFont="1" applyFill="1" applyBorder="1" applyAlignment="1" applyProtection="1">
      <alignment horizontal="center" vertical="center" textRotation="90" wrapText="1"/>
      <protection hidden="1"/>
    </xf>
    <xf numFmtId="0" fontId="4" fillId="12" borderId="27" xfId="0" applyFont="1" applyFill="1" applyBorder="1" applyAlignment="1" applyProtection="1">
      <alignment horizontal="center" vertical="center" wrapText="1"/>
      <protection hidden="1"/>
    </xf>
    <xf numFmtId="0" fontId="4" fillId="12" borderId="11" xfId="0" applyFont="1" applyFill="1" applyBorder="1" applyAlignment="1" applyProtection="1">
      <alignment horizontal="center" vertical="center" wrapText="1"/>
      <protection hidden="1"/>
    </xf>
    <xf numFmtId="0" fontId="4" fillId="12" borderId="10" xfId="0" applyFont="1" applyFill="1" applyBorder="1" applyAlignment="1" applyProtection="1">
      <alignment horizontal="center" vertical="center" textRotation="90"/>
      <protection hidden="1"/>
    </xf>
    <xf numFmtId="0" fontId="4" fillId="12" borderId="10" xfId="0" applyFont="1" applyFill="1" applyBorder="1" applyAlignment="1" applyProtection="1">
      <alignment horizontal="center" vertical="center" wrapText="1"/>
      <protection hidden="1"/>
    </xf>
    <xf numFmtId="0" fontId="4" fillId="12" borderId="31" xfId="0" applyFont="1" applyFill="1" applyBorder="1" applyAlignment="1" applyProtection="1">
      <alignment horizontal="center" vertical="center" wrapText="1"/>
      <protection hidden="1"/>
    </xf>
    <xf numFmtId="0" fontId="4" fillId="12" borderId="31" xfId="0" applyFont="1" applyFill="1" applyBorder="1" applyAlignment="1" applyProtection="1">
      <alignment horizontal="center" vertical="center"/>
      <protection hidden="1"/>
    </xf>
    <xf numFmtId="0" fontId="4" fillId="12" borderId="11" xfId="0" applyFont="1" applyFill="1" applyBorder="1" applyAlignment="1" applyProtection="1">
      <alignment horizontal="center" vertical="center"/>
      <protection hidden="1"/>
    </xf>
    <xf numFmtId="0" fontId="44" fillId="12" borderId="25" xfId="0" applyFont="1" applyFill="1" applyBorder="1" applyAlignment="1" applyProtection="1">
      <alignment horizontal="center" vertical="center"/>
      <protection hidden="1"/>
    </xf>
    <xf numFmtId="0" fontId="44" fillId="12" borderId="33" xfId="0" applyFont="1" applyFill="1" applyBorder="1" applyAlignment="1" applyProtection="1">
      <alignment horizontal="center" vertical="center"/>
      <protection hidden="1"/>
    </xf>
    <xf numFmtId="0" fontId="44" fillId="12" borderId="26" xfId="0" applyFont="1" applyFill="1" applyBorder="1" applyAlignment="1" applyProtection="1">
      <alignment horizontal="center" vertical="center"/>
      <protection hidden="1"/>
    </xf>
    <xf numFmtId="0" fontId="44" fillId="12" borderId="35" xfId="0" applyFont="1" applyFill="1" applyBorder="1" applyAlignment="1" applyProtection="1">
      <alignment horizontal="center" vertical="center"/>
      <protection hidden="1"/>
    </xf>
    <xf numFmtId="0" fontId="44" fillId="12" borderId="28" xfId="0" applyFont="1" applyFill="1" applyBorder="1" applyAlignment="1" applyProtection="1">
      <alignment horizontal="center" vertical="center"/>
      <protection hidden="1"/>
    </xf>
    <xf numFmtId="0" fontId="44" fillId="12" borderId="29" xfId="0" applyFont="1" applyFill="1" applyBorder="1" applyAlignment="1" applyProtection="1">
      <alignment horizontal="center" vertical="center"/>
      <protection hidden="1"/>
    </xf>
    <xf numFmtId="0" fontId="44" fillId="12" borderId="30" xfId="0" applyFont="1" applyFill="1" applyBorder="1" applyAlignment="1" applyProtection="1">
      <alignment horizontal="center" vertical="center"/>
      <protection hidden="1"/>
    </xf>
    <xf numFmtId="0" fontId="4" fillId="12" borderId="29" xfId="0" applyFont="1" applyFill="1" applyBorder="1" applyAlignment="1" applyProtection="1">
      <alignment horizontal="center"/>
      <protection hidden="1"/>
    </xf>
    <xf numFmtId="0" fontId="4" fillId="17" borderId="10" xfId="0" applyFont="1" applyFill="1" applyBorder="1" applyAlignment="1" applyProtection="1">
      <alignment horizontal="center" vertical="center"/>
      <protection hidden="1"/>
    </xf>
    <xf numFmtId="0" fontId="23" fillId="0" borderId="10" xfId="0" applyFont="1" applyBorder="1" applyAlignment="1" applyProtection="1">
      <alignment horizontal="justify" vertical="center" wrapText="1"/>
      <protection hidden="1"/>
    </xf>
    <xf numFmtId="0" fontId="23" fillId="0" borderId="28" xfId="0" applyFont="1" applyBorder="1" applyAlignment="1" applyProtection="1">
      <alignment horizontal="left" vertical="center" wrapText="1"/>
      <protection hidden="1"/>
    </xf>
    <xf numFmtId="0" fontId="23" fillId="0" borderId="30" xfId="0" applyFont="1" applyBorder="1" applyAlignment="1" applyProtection="1">
      <alignment horizontal="left" vertical="center" wrapText="1"/>
      <protection hidden="1"/>
    </xf>
    <xf numFmtId="0" fontId="4" fillId="12" borderId="10" xfId="0" applyFont="1" applyFill="1" applyBorder="1" applyAlignment="1" applyProtection="1">
      <alignment horizontal="center" vertical="center" textRotation="90" wrapText="1"/>
      <protection hidden="1"/>
    </xf>
    <xf numFmtId="0" fontId="1" fillId="0" borderId="27" xfId="0" applyFont="1" applyBorder="1" applyAlignment="1" applyProtection="1">
      <alignment horizontal="left" vertical="center" wrapText="1"/>
      <protection hidden="1"/>
    </xf>
    <xf numFmtId="0" fontId="1" fillId="0" borderId="11" xfId="0" applyFont="1" applyBorder="1" applyAlignment="1" applyProtection="1">
      <alignment horizontal="left" vertical="center" wrapText="1"/>
      <protection hidden="1"/>
    </xf>
    <xf numFmtId="0" fontId="4" fillId="12" borderId="28" xfId="0" applyFont="1" applyFill="1" applyBorder="1" applyAlignment="1" applyProtection="1">
      <alignment horizontal="center" vertical="center" wrapText="1"/>
      <protection hidden="1"/>
    </xf>
    <xf numFmtId="0" fontId="4" fillId="12" borderId="29" xfId="0" applyFont="1" applyFill="1" applyBorder="1" applyAlignment="1" applyProtection="1">
      <alignment horizontal="center" vertical="center" wrapText="1"/>
      <protection hidden="1"/>
    </xf>
    <xf numFmtId="0" fontId="4" fillId="12" borderId="30" xfId="0" applyFont="1" applyFill="1" applyBorder="1" applyAlignment="1" applyProtection="1">
      <alignment horizontal="center" vertical="center" wrapText="1"/>
      <protection hidden="1"/>
    </xf>
    <xf numFmtId="0" fontId="4" fillId="0" borderId="28" xfId="0" applyFont="1" applyBorder="1" applyAlignment="1" applyProtection="1">
      <alignment horizontal="left" vertical="center"/>
      <protection hidden="1"/>
    </xf>
    <xf numFmtId="0" fontId="4" fillId="0" borderId="29" xfId="0" applyFont="1" applyBorder="1" applyAlignment="1" applyProtection="1">
      <alignment horizontal="left" vertical="center"/>
      <protection hidden="1"/>
    </xf>
    <xf numFmtId="0" fontId="4" fillId="0" borderId="30" xfId="0" applyFont="1" applyBorder="1" applyAlignment="1" applyProtection="1">
      <alignment horizontal="left" vertical="center"/>
      <protection hidden="1"/>
    </xf>
    <xf numFmtId="0" fontId="43" fillId="12" borderId="10" xfId="0" applyFont="1" applyFill="1" applyBorder="1" applyAlignment="1" applyProtection="1">
      <alignment horizontal="center" vertical="center"/>
      <protection hidden="1"/>
    </xf>
    <xf numFmtId="0" fontId="4" fillId="12" borderId="10" xfId="0" applyFont="1" applyFill="1" applyBorder="1" applyAlignment="1" applyProtection="1">
      <alignment horizontal="center" vertical="center"/>
      <protection hidden="1"/>
    </xf>
    <xf numFmtId="0" fontId="39" fillId="16" borderId="28" xfId="0" applyFont="1" applyFill="1" applyBorder="1" applyAlignment="1" applyProtection="1">
      <alignment horizontal="center" vertical="center"/>
      <protection hidden="1"/>
    </xf>
    <xf numFmtId="0" fontId="39" fillId="16" borderId="29" xfId="0" applyFont="1" applyFill="1" applyBorder="1" applyAlignment="1" applyProtection="1">
      <alignment horizontal="center" vertical="center"/>
      <protection hidden="1"/>
    </xf>
    <xf numFmtId="0" fontId="39" fillId="16" borderId="30" xfId="0" applyFont="1" applyFill="1" applyBorder="1" applyAlignment="1" applyProtection="1">
      <alignment horizontal="center" vertical="center"/>
      <protection hidden="1"/>
    </xf>
    <xf numFmtId="0" fontId="4" fillId="12" borderId="29" xfId="0" applyFont="1" applyFill="1" applyBorder="1" applyAlignment="1" applyProtection="1">
      <alignment horizontal="center" vertical="center"/>
      <protection hidden="1"/>
    </xf>
    <xf numFmtId="0" fontId="23" fillId="0" borderId="10" xfId="0" applyFont="1" applyBorder="1" applyAlignment="1" applyProtection="1">
      <alignment horizontal="left" vertical="center" wrapText="1"/>
      <protection hidden="1"/>
    </xf>
    <xf numFmtId="0" fontId="23" fillId="0" borderId="36" xfId="0" applyFont="1" applyBorder="1" applyAlignment="1" applyProtection="1">
      <alignment horizontal="left" vertical="center" wrapText="1"/>
      <protection hidden="1"/>
    </xf>
    <xf numFmtId="0" fontId="23" fillId="0" borderId="33" xfId="0" applyFont="1" applyBorder="1" applyAlignment="1" applyProtection="1">
      <alignment horizontal="left" vertical="center" wrapText="1"/>
      <protection hidden="1"/>
    </xf>
    <xf numFmtId="0" fontId="23" fillId="0" borderId="37" xfId="0" applyFont="1" applyBorder="1" applyAlignment="1" applyProtection="1">
      <alignment horizontal="left" vertical="center" wrapText="1"/>
      <protection hidden="1"/>
    </xf>
    <xf numFmtId="0" fontId="23" fillId="0" borderId="35" xfId="0" applyFont="1" applyBorder="1" applyAlignment="1" applyProtection="1">
      <alignment horizontal="left" vertical="center" wrapText="1"/>
      <protection hidden="1"/>
    </xf>
    <xf numFmtId="0" fontId="1" fillId="0" borderId="37" xfId="0" applyFont="1" applyBorder="1" applyAlignment="1" applyProtection="1">
      <alignment horizontal="center" vertical="center" textRotation="90"/>
      <protection hidden="1"/>
    </xf>
    <xf numFmtId="0" fontId="1" fillId="0" borderId="28" xfId="0" applyFont="1" applyBorder="1" applyAlignment="1" applyProtection="1">
      <alignment horizontal="center" vertical="center" textRotation="90"/>
      <protection hidden="1"/>
    </xf>
    <xf numFmtId="0" fontId="37" fillId="3" borderId="34" xfId="0" applyFont="1" applyFill="1" applyBorder="1" applyAlignment="1" applyProtection="1">
      <alignment horizontal="center" vertical="center" wrapText="1"/>
      <protection hidden="1"/>
    </xf>
    <xf numFmtId="0" fontId="37" fillId="3" borderId="35" xfId="0" applyFont="1" applyFill="1" applyBorder="1" applyAlignment="1" applyProtection="1">
      <alignment horizontal="center" vertical="center" wrapText="1"/>
      <protection hidden="1"/>
    </xf>
    <xf numFmtId="0" fontId="1" fillId="0" borderId="27" xfId="0" applyFont="1" applyBorder="1" applyAlignment="1" applyProtection="1">
      <alignment horizontal="center" vertical="top" wrapText="1"/>
      <protection hidden="1"/>
    </xf>
    <xf numFmtId="0" fontId="1" fillId="0" borderId="31" xfId="0" applyFont="1" applyBorder="1" applyAlignment="1" applyProtection="1">
      <alignment horizontal="center" vertical="top" wrapText="1"/>
      <protection hidden="1"/>
    </xf>
    <xf numFmtId="0" fontId="1" fillId="0" borderId="11" xfId="0" applyFont="1" applyBorder="1" applyAlignment="1" applyProtection="1">
      <alignment horizontal="center" vertical="top" wrapText="1"/>
      <protection hidden="1"/>
    </xf>
    <xf numFmtId="0" fontId="2" fillId="0" borderId="27" xfId="0" applyFont="1" applyBorder="1" applyAlignment="1" applyProtection="1">
      <alignment horizontal="center" vertical="top" wrapText="1"/>
      <protection hidden="1"/>
    </xf>
    <xf numFmtId="0" fontId="2" fillId="0" borderId="31" xfId="0" applyFont="1" applyBorder="1" applyAlignment="1" applyProtection="1">
      <alignment horizontal="center" vertical="top" wrapText="1"/>
      <protection hidden="1"/>
    </xf>
    <xf numFmtId="0" fontId="2" fillId="0" borderId="11" xfId="0" applyFont="1" applyBorder="1" applyAlignment="1" applyProtection="1">
      <alignment horizontal="center" vertical="top" wrapText="1"/>
      <protection hidden="1"/>
    </xf>
    <xf numFmtId="0" fontId="37" fillId="0" borderId="31" xfId="0" applyFont="1" applyBorder="1" applyAlignment="1" applyProtection="1">
      <alignment horizontal="center" vertical="center" wrapText="1"/>
      <protection hidden="1"/>
    </xf>
    <xf numFmtId="0" fontId="37" fillId="0" borderId="11" xfId="0" applyFont="1" applyBorder="1" applyAlignment="1" applyProtection="1">
      <alignment horizontal="center" vertical="center" wrapText="1"/>
      <protection hidden="1"/>
    </xf>
    <xf numFmtId="0" fontId="37" fillId="3" borderId="10" xfId="0" applyFont="1" applyFill="1" applyBorder="1" applyAlignment="1" applyProtection="1">
      <alignment horizontal="center" vertical="center" wrapText="1"/>
      <protection hidden="1"/>
    </xf>
    <xf numFmtId="0" fontId="77" fillId="0" borderId="27" xfId="0" applyFont="1" applyBorder="1" applyAlignment="1" applyProtection="1">
      <alignment horizontal="left" vertical="center" wrapText="1"/>
      <protection locked="0"/>
    </xf>
    <xf numFmtId="0" fontId="78" fillId="0" borderId="31" xfId="0" applyFont="1" applyBorder="1" applyAlignment="1" applyProtection="1">
      <alignment horizontal="left" vertical="center" wrapText="1"/>
      <protection locked="0"/>
    </xf>
    <xf numFmtId="0" fontId="78" fillId="0" borderId="11" xfId="0" applyFont="1" applyBorder="1" applyAlignment="1" applyProtection="1">
      <alignment horizontal="left" vertical="center" wrapText="1"/>
      <protection locked="0"/>
    </xf>
    <xf numFmtId="0" fontId="1" fillId="3" borderId="27" xfId="0" applyFont="1" applyFill="1" applyBorder="1" applyAlignment="1" applyProtection="1">
      <alignment horizontal="center" vertical="center" wrapText="1"/>
      <protection locked="0"/>
    </xf>
    <xf numFmtId="0" fontId="1" fillId="3" borderId="11" xfId="0" applyFont="1" applyFill="1" applyBorder="1" applyAlignment="1" applyProtection="1">
      <alignment horizontal="center" vertical="center"/>
      <protection locked="0"/>
    </xf>
    <xf numFmtId="0" fontId="1" fillId="3" borderId="27" xfId="0" applyFont="1" applyFill="1" applyBorder="1" applyAlignment="1" applyProtection="1">
      <alignment horizontal="center" vertical="center"/>
      <protection hidden="1"/>
    </xf>
    <xf numFmtId="0" fontId="1" fillId="3" borderId="31" xfId="0" applyFont="1" applyFill="1" applyBorder="1" applyAlignment="1" applyProtection="1">
      <alignment horizontal="center" vertical="center"/>
      <protection hidden="1"/>
    </xf>
    <xf numFmtId="0" fontId="1" fillId="3" borderId="11" xfId="0" applyFont="1" applyFill="1" applyBorder="1" applyAlignment="1" applyProtection="1">
      <alignment horizontal="center" vertical="center"/>
      <protection hidden="1"/>
    </xf>
    <xf numFmtId="0" fontId="36" fillId="12" borderId="27" xfId="0" applyFont="1" applyFill="1" applyBorder="1" applyAlignment="1" applyProtection="1">
      <alignment horizontal="center" vertical="center" wrapText="1"/>
      <protection hidden="1"/>
    </xf>
    <xf numFmtId="0" fontId="36" fillId="12" borderId="11" xfId="0" applyFont="1" applyFill="1" applyBorder="1" applyAlignment="1" applyProtection="1">
      <alignment horizontal="center" vertical="center" wrapText="1"/>
      <protection hidden="1"/>
    </xf>
    <xf numFmtId="0" fontId="75" fillId="3" borderId="27" xfId="0" applyFont="1" applyFill="1" applyBorder="1" applyAlignment="1" applyProtection="1">
      <alignment horizontal="left" vertical="top" wrapText="1"/>
      <protection locked="0"/>
    </xf>
    <xf numFmtId="0" fontId="75" fillId="3" borderId="31" xfId="0" applyFont="1" applyFill="1" applyBorder="1" applyAlignment="1" applyProtection="1">
      <alignment horizontal="left" vertical="top" wrapText="1"/>
      <protection locked="0"/>
    </xf>
    <xf numFmtId="0" fontId="75" fillId="3" borderId="11" xfId="0" applyFont="1" applyFill="1" applyBorder="1" applyAlignment="1" applyProtection="1">
      <alignment horizontal="left" vertical="top" wrapText="1"/>
      <protection locked="0"/>
    </xf>
    <xf numFmtId="0" fontId="53" fillId="0" borderId="38" xfId="5" applyFont="1" applyBorder="1" applyAlignment="1">
      <alignment horizontal="center" vertical="center" wrapText="1"/>
    </xf>
    <xf numFmtId="0" fontId="53" fillId="0" borderId="39" xfId="5" applyFont="1" applyBorder="1" applyAlignment="1">
      <alignment horizontal="center" vertical="center" wrapText="1"/>
    </xf>
    <xf numFmtId="0" fontId="53" fillId="0" borderId="10" xfId="5" applyFont="1" applyBorder="1" applyAlignment="1">
      <alignment horizontal="center" vertical="center" wrapText="1"/>
    </xf>
    <xf numFmtId="0" fontId="53" fillId="0" borderId="14" xfId="5" applyFont="1" applyBorder="1" applyAlignment="1">
      <alignment horizontal="center" vertical="center" textRotation="90" wrapText="1"/>
    </xf>
    <xf numFmtId="0" fontId="53" fillId="0" borderId="16" xfId="5" applyFont="1" applyBorder="1" applyAlignment="1">
      <alignment horizontal="center" vertical="center" textRotation="90" wrapText="1"/>
    </xf>
    <xf numFmtId="0" fontId="53" fillId="0" borderId="40" xfId="5" applyFont="1" applyBorder="1" applyAlignment="1">
      <alignment horizontal="center" vertical="center" textRotation="90" wrapText="1"/>
    </xf>
    <xf numFmtId="0" fontId="53" fillId="0" borderId="41" xfId="5" applyFont="1" applyBorder="1" applyAlignment="1">
      <alignment horizontal="center" vertical="center" textRotation="90" wrapText="1"/>
    </xf>
    <xf numFmtId="0" fontId="53" fillId="0" borderId="10" xfId="5" applyFont="1" applyBorder="1" applyAlignment="1">
      <alignment horizontal="center" vertical="center"/>
    </xf>
    <xf numFmtId="0" fontId="53" fillId="18" borderId="12" xfId="5" applyFont="1" applyFill="1" applyBorder="1" applyAlignment="1">
      <alignment horizontal="center"/>
    </xf>
    <xf numFmtId="0" fontId="53" fillId="18" borderId="13" xfId="5" applyFont="1" applyFill="1" applyBorder="1" applyAlignment="1">
      <alignment horizontal="center"/>
    </xf>
    <xf numFmtId="0" fontId="53" fillId="18" borderId="24" xfId="5" applyFont="1" applyFill="1" applyBorder="1" applyAlignment="1">
      <alignment horizontal="center"/>
    </xf>
    <xf numFmtId="0" fontId="53" fillId="0" borderId="45" xfId="5" applyFont="1" applyBorder="1" applyAlignment="1">
      <alignment horizontal="center" vertical="center" textRotation="90" wrapText="1"/>
    </xf>
    <xf numFmtId="0" fontId="53" fillId="0" borderId="46" xfId="5" applyFont="1" applyBorder="1" applyAlignment="1">
      <alignment horizontal="center" vertical="center" textRotation="90" wrapText="1"/>
    </xf>
    <xf numFmtId="0" fontId="53" fillId="0" borderId="20" xfId="5" applyFont="1" applyBorder="1" applyAlignment="1">
      <alignment horizontal="center" vertical="center" textRotation="90" wrapText="1"/>
    </xf>
    <xf numFmtId="0" fontId="68" fillId="3" borderId="0" xfId="5" applyFont="1" applyFill="1" applyAlignment="1">
      <alignment horizontal="center"/>
    </xf>
    <xf numFmtId="0" fontId="53" fillId="0" borderId="42" xfId="5" applyFont="1" applyBorder="1" applyAlignment="1">
      <alignment horizontal="center" vertical="center" wrapText="1"/>
    </xf>
    <xf numFmtId="0" fontId="53" fillId="0" borderId="43" xfId="5" applyFont="1" applyBorder="1" applyAlignment="1">
      <alignment horizontal="center" vertical="center" wrapText="1"/>
    </xf>
    <xf numFmtId="0" fontId="53" fillId="0" borderId="44" xfId="5" applyFont="1" applyBorder="1" applyAlignment="1">
      <alignment horizontal="center" vertical="center" wrapText="1"/>
    </xf>
    <xf numFmtId="0" fontId="56" fillId="0" borderId="28" xfId="5" applyFont="1" applyBorder="1" applyAlignment="1">
      <alignment horizontal="center" vertical="center" wrapText="1"/>
    </xf>
    <xf numFmtId="0" fontId="56" fillId="0" borderId="29" xfId="5" applyFont="1" applyBorder="1" applyAlignment="1">
      <alignment horizontal="center" vertical="center" wrapText="1"/>
    </xf>
    <xf numFmtId="0" fontId="56" fillId="0" borderId="30" xfId="5" applyFont="1" applyBorder="1" applyAlignment="1">
      <alignment horizontal="center" vertical="center" wrapText="1"/>
    </xf>
    <xf numFmtId="0" fontId="53" fillId="18" borderId="2" xfId="5" applyFont="1" applyFill="1" applyBorder="1" applyAlignment="1">
      <alignment horizontal="center"/>
    </xf>
    <xf numFmtId="0" fontId="53" fillId="18" borderId="9" xfId="5" applyFont="1" applyFill="1" applyBorder="1" applyAlignment="1">
      <alignment horizontal="center"/>
    </xf>
    <xf numFmtId="0" fontId="53" fillId="18" borderId="3" xfId="5" applyFont="1" applyFill="1" applyBorder="1" applyAlignment="1">
      <alignment horizontal="center"/>
    </xf>
    <xf numFmtId="0" fontId="53" fillId="0" borderId="28" xfId="5" applyFont="1" applyBorder="1" applyAlignment="1">
      <alignment horizontal="center" vertical="center" textRotation="90" wrapText="1"/>
    </xf>
    <xf numFmtId="0" fontId="16" fillId="0" borderId="0" xfId="0" applyFont="1" applyAlignment="1">
      <alignment horizontal="center" vertical="center"/>
    </xf>
    <xf numFmtId="0" fontId="22" fillId="9" borderId="10" xfId="0" applyFont="1" applyFill="1" applyBorder="1" applyAlignment="1">
      <alignment horizontal="center" vertical="center" wrapText="1" readingOrder="1"/>
    </xf>
    <xf numFmtId="0" fontId="30" fillId="0" borderId="0" xfId="0" applyFont="1" applyAlignment="1">
      <alignment horizontal="center" vertical="center"/>
    </xf>
    <xf numFmtId="0" fontId="21" fillId="5" borderId="10" xfId="0" applyFont="1" applyFill="1" applyBorder="1" applyAlignment="1">
      <alignment horizontal="center" vertical="center" wrapText="1" readingOrder="1"/>
    </xf>
    <xf numFmtId="0" fontId="21" fillId="7" borderId="10" xfId="0" applyFont="1" applyFill="1" applyBorder="1" applyAlignment="1">
      <alignment horizontal="center" vertical="center" wrapText="1" readingOrder="1"/>
    </xf>
    <xf numFmtId="0" fontId="21" fillId="4" borderId="10" xfId="0" applyFont="1" applyFill="1" applyBorder="1" applyAlignment="1">
      <alignment horizontal="center" vertical="center" wrapText="1" readingOrder="1"/>
    </xf>
    <xf numFmtId="0" fontId="21" fillId="8" borderId="10" xfId="0" applyFont="1" applyFill="1" applyBorder="1" applyAlignment="1">
      <alignment horizontal="center" vertical="center" wrapText="1" readingOrder="1"/>
    </xf>
    <xf numFmtId="0" fontId="28" fillId="14" borderId="12" xfId="0" applyFont="1" applyFill="1" applyBorder="1" applyAlignment="1">
      <alignment horizontal="center" vertical="center" wrapText="1" readingOrder="1"/>
    </xf>
    <xf numFmtId="0" fontId="28" fillId="14" borderId="13" xfId="0" applyFont="1" applyFill="1" applyBorder="1" applyAlignment="1">
      <alignment horizontal="center" vertical="center" wrapText="1" readingOrder="1"/>
    </xf>
    <xf numFmtId="0" fontId="28" fillId="14" borderId="24" xfId="0" applyFont="1" applyFill="1" applyBorder="1" applyAlignment="1">
      <alignment horizontal="center" vertical="center" wrapText="1" readingOrder="1"/>
    </xf>
    <xf numFmtId="0" fontId="23" fillId="3" borderId="0" xfId="0" applyFont="1" applyFill="1" applyAlignment="1">
      <alignment horizontal="justify" vertical="center" wrapText="1"/>
    </xf>
    <xf numFmtId="0" fontId="25" fillId="14" borderId="21" xfId="0" applyFont="1" applyFill="1" applyBorder="1" applyAlignment="1">
      <alignment horizontal="center" vertical="center" wrapText="1" readingOrder="1"/>
    </xf>
    <xf numFmtId="0" fontId="25" fillId="14" borderId="22" xfId="0" applyFont="1" applyFill="1" applyBorder="1" applyAlignment="1">
      <alignment horizontal="center" vertical="center" wrapText="1" readingOrder="1"/>
    </xf>
    <xf numFmtId="0" fontId="25" fillId="3" borderId="19" xfId="0" applyFont="1" applyFill="1" applyBorder="1" applyAlignment="1">
      <alignment horizontal="center" vertical="center" wrapText="1" readingOrder="1"/>
    </xf>
    <xf numFmtId="0" fontId="25" fillId="3" borderId="14" xfId="0" applyFont="1" applyFill="1" applyBorder="1" applyAlignment="1">
      <alignment horizontal="center" vertical="center" wrapText="1" readingOrder="1"/>
    </xf>
    <xf numFmtId="0" fontId="25" fillId="3" borderId="11" xfId="0" applyFont="1" applyFill="1" applyBorder="1" applyAlignment="1">
      <alignment horizontal="center" vertical="center" wrapText="1" readingOrder="1"/>
    </xf>
    <xf numFmtId="0" fontId="25" fillId="3" borderId="10" xfId="0" applyFont="1" applyFill="1" applyBorder="1" applyAlignment="1">
      <alignment horizontal="center" vertical="center" wrapText="1" readingOrder="1"/>
    </xf>
    <xf numFmtId="0" fontId="25" fillId="3" borderId="16" xfId="0" applyFont="1" applyFill="1" applyBorder="1" applyAlignment="1">
      <alignment horizontal="center" vertical="center" wrapText="1" readingOrder="1"/>
    </xf>
    <xf numFmtId="0" fontId="25" fillId="3" borderId="17" xfId="0" applyFont="1" applyFill="1" applyBorder="1" applyAlignment="1">
      <alignment horizontal="center" vertical="center" wrapText="1" readingOrder="1"/>
    </xf>
  </cellXfs>
  <cellStyles count="7">
    <cellStyle name="Normal" xfId="0" builtinId="0"/>
    <cellStyle name="Normal - Style1 2" xfId="2" xr:uid="{00000000-0005-0000-0000-000001000000}"/>
    <cellStyle name="Normal 2" xfId="4" xr:uid="{00000000-0005-0000-0000-000002000000}"/>
    <cellStyle name="Normal 2 2" xfId="3" xr:uid="{00000000-0005-0000-0000-000003000000}"/>
    <cellStyle name="Normal 2 3" xfId="5" xr:uid="{0A4E8973-91E1-4ABA-8A47-B6F55F33A52F}"/>
    <cellStyle name="Normal 3" xfId="6" xr:uid="{1BC5BA92-4BDF-4C1D-80FA-C1CF2AE08334}"/>
    <cellStyle name="Porcentaje" xfId="1" builtinId="5"/>
  </cellStyles>
  <dxfs count="302">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92D050"/>
        </patternFill>
      </fill>
    </dxf>
    <dxf>
      <fill>
        <patternFill>
          <bgColor theme="9" tint="-0.24994659260841701"/>
        </patternFill>
      </fill>
    </dxf>
    <dxf>
      <fill>
        <patternFill>
          <bgColor rgb="FFFFFF00"/>
        </patternFill>
      </fill>
    </dxf>
    <dxf>
      <fill>
        <patternFill>
          <bgColor rgb="FFFFFF00"/>
        </patternFill>
      </fill>
    </dxf>
    <dxf>
      <fill>
        <patternFill>
          <bgColor rgb="FFC00000"/>
        </patternFill>
      </fill>
    </dxf>
    <dxf>
      <fill>
        <patternFill>
          <bgColor rgb="FF92D050"/>
        </patternFill>
      </fill>
    </dxf>
    <dxf>
      <fill>
        <patternFill>
          <bgColor theme="9" tint="-0.24994659260841701"/>
        </patternFill>
      </fill>
    </dxf>
    <dxf>
      <fill>
        <patternFill>
          <bgColor theme="9" tint="-0.24994659260841701"/>
        </patternFill>
      </fill>
    </dxf>
    <dxf>
      <fill>
        <patternFill>
          <bgColor rgb="FF92D050"/>
        </patternFill>
      </fill>
    </dxf>
    <dxf>
      <fill>
        <patternFill>
          <bgColor rgb="FFFFFF00"/>
        </patternFill>
      </fill>
    </dxf>
    <dxf>
      <fill>
        <patternFill>
          <bgColor rgb="FFC00000"/>
        </patternFill>
      </fill>
    </dxf>
    <dxf>
      <fill>
        <patternFill>
          <bgColor rgb="FFC00000"/>
        </patternFill>
      </fill>
    </dxf>
    <dxf>
      <fill>
        <patternFill>
          <bgColor theme="9" tint="-0.24994659260841701"/>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ill>
        <patternFill>
          <bgColor rgb="FF00B050"/>
        </patternFill>
      </fill>
    </dxf>
    <dxf>
      <fill>
        <patternFill>
          <bgColor rgb="FFFF0000"/>
        </patternFill>
      </fill>
    </dxf>
    <dxf>
      <fill>
        <patternFill>
          <bgColor rgb="FFFFFF66"/>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FF0000"/>
        </patternFill>
      </fill>
    </dxf>
    <dxf>
      <fill>
        <patternFill>
          <bgColor rgb="FF00B050"/>
        </patternFill>
      </fill>
    </dxf>
    <dxf>
      <fill>
        <patternFill>
          <bgColor rgb="FF00B050"/>
        </patternFill>
      </fill>
    </dxf>
    <dxf>
      <fill>
        <patternFill>
          <bgColor rgb="FFFF0000"/>
        </patternFill>
      </fill>
    </dxf>
    <dxf>
      <font>
        <color auto="1"/>
      </font>
      <fill>
        <patternFill>
          <bgColor rgb="FF92D050"/>
        </patternFill>
      </fill>
    </dxf>
    <dxf>
      <fill>
        <patternFill>
          <bgColor rgb="FFFFC000"/>
        </patternFill>
      </fill>
    </dxf>
    <dxf>
      <fill>
        <patternFill>
          <bgColor rgb="FFFFFF66"/>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FF66"/>
        </patternFill>
      </fill>
    </dxf>
    <dxf>
      <fill>
        <patternFill>
          <bgColor rgb="FFFF0000"/>
        </patternFill>
      </fill>
    </dxf>
    <dxf>
      <fill>
        <patternFill>
          <bgColor rgb="FF00B050"/>
        </patternFill>
      </fill>
    </dxf>
    <dxf>
      <fill>
        <patternFill>
          <bgColor rgb="FFFFC000"/>
        </patternFill>
      </fill>
    </dxf>
    <dxf>
      <fill>
        <patternFill>
          <bgColor rgb="FFFFFF66"/>
        </patternFill>
      </fill>
    </dxf>
    <dxf>
      <fill>
        <patternFill>
          <bgColor rgb="FFFF0000"/>
        </patternFill>
      </fill>
    </dxf>
    <dxf>
      <fill>
        <patternFill>
          <bgColor rgb="FFFFC000"/>
        </patternFill>
      </fill>
    </dxf>
    <dxf>
      <fill>
        <patternFill>
          <bgColor rgb="FF00B050"/>
        </patternFill>
      </fill>
    </dxf>
    <dxf>
      <font>
        <color auto="1"/>
      </font>
      <fill>
        <patternFill>
          <bgColor rgb="FF92D050"/>
        </patternFill>
      </fill>
    </dxf>
    <dxf>
      <fill>
        <patternFill>
          <bgColor rgb="FFFFFF66"/>
        </patternFill>
      </fill>
    </dxf>
    <dxf>
      <fill>
        <patternFill>
          <bgColor rgb="FFFF0000"/>
        </patternFill>
      </fill>
    </dxf>
    <dxf>
      <font>
        <color auto="1"/>
      </font>
      <fill>
        <patternFill>
          <bgColor rgb="FF92D050"/>
        </patternFill>
      </fill>
    </dxf>
    <dxf>
      <fill>
        <patternFill>
          <bgColor rgb="FF00B050"/>
        </patternFill>
      </fill>
    </dxf>
    <dxf>
      <fill>
        <patternFill>
          <bgColor rgb="FFFFC000"/>
        </patternFill>
      </fill>
    </dxf>
    <dxf>
      <fill>
        <patternFill>
          <bgColor rgb="FFFFFF66"/>
        </patternFill>
      </fill>
    </dxf>
    <dxf>
      <fill>
        <patternFill>
          <bgColor rgb="FF00B050"/>
        </patternFill>
      </fill>
    </dxf>
    <dxf>
      <fill>
        <patternFill>
          <bgColor rgb="FFFFC000"/>
        </patternFill>
      </fill>
    </dxf>
    <dxf>
      <fill>
        <patternFill>
          <bgColor rgb="FFFF0000"/>
        </patternFill>
      </fill>
    </dxf>
    <dxf>
      <font>
        <color auto="1"/>
      </font>
      <fill>
        <patternFill>
          <bgColor rgb="FF92D050"/>
        </patternFill>
      </fill>
    </dxf>
    <dxf>
      <font>
        <color auto="1"/>
      </font>
      <fill>
        <patternFill>
          <bgColor rgb="FF92D050"/>
        </patternFill>
      </fill>
    </dxf>
    <dxf>
      <fill>
        <patternFill>
          <bgColor rgb="FF00B050"/>
        </patternFill>
      </fill>
    </dxf>
    <dxf>
      <fill>
        <patternFill>
          <bgColor rgb="FFFFC000"/>
        </patternFill>
      </fill>
    </dxf>
    <dxf>
      <fill>
        <patternFill>
          <bgColor rgb="FFFF0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ill>
        <patternFill>
          <bgColor rgb="FFFF0000"/>
        </patternFill>
      </fill>
    </dxf>
    <dxf>
      <font>
        <color auto="1"/>
      </font>
      <fill>
        <patternFill>
          <bgColor rgb="FF92D050"/>
        </patternFill>
      </fill>
    </dxf>
    <dxf>
      <fill>
        <patternFill>
          <bgColor rgb="FF92D050"/>
        </patternFill>
      </fill>
    </dxf>
    <dxf>
      <fill>
        <patternFill>
          <bgColor rgb="FFFFFF00"/>
        </patternFill>
      </fill>
    </dxf>
    <dxf>
      <fill>
        <patternFill>
          <bgColor theme="9" tint="-0.24994659260841701"/>
        </patternFill>
      </fill>
    </dxf>
    <dxf>
      <fill>
        <patternFill>
          <bgColor rgb="FFC00000"/>
        </patternFill>
      </fill>
    </dxf>
    <dxf>
      <fill>
        <patternFill>
          <bgColor theme="9" tint="-0.24994659260841701"/>
        </patternFill>
      </fill>
    </dxf>
    <dxf>
      <fill>
        <patternFill>
          <bgColor rgb="FF92D050"/>
        </patternFill>
      </fill>
    </dxf>
    <dxf>
      <fill>
        <patternFill>
          <bgColor rgb="FFC00000"/>
        </patternFill>
      </fill>
    </dxf>
    <dxf>
      <fill>
        <patternFill>
          <bgColor rgb="FFFFFF00"/>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C00000"/>
        </patternFill>
      </fill>
    </dxf>
    <dxf>
      <fill>
        <patternFill>
          <bgColor rgb="FFFFFF00"/>
        </patternFill>
      </fill>
    </dxf>
    <dxf>
      <fill>
        <patternFill>
          <bgColor theme="9" tint="-0.24994659260841701"/>
        </patternFill>
      </fill>
    </dxf>
    <dxf>
      <fill>
        <patternFill>
          <bgColor rgb="FF92D050"/>
        </patternFill>
      </fill>
    </dxf>
    <dxf>
      <fill>
        <patternFill>
          <bgColor rgb="FF92D050"/>
        </patternFill>
      </fill>
    </dxf>
    <dxf>
      <fill>
        <patternFill>
          <bgColor rgb="FFFFFF00"/>
        </patternFill>
      </fill>
    </dxf>
    <dxf>
      <fill>
        <patternFill>
          <bgColor rgb="FFC000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92D050"/>
        </patternFill>
      </fill>
    </dxf>
    <dxf>
      <fill>
        <patternFill>
          <bgColor rgb="FFC00000"/>
        </patternFill>
      </fill>
    </dxf>
    <dxf>
      <fill>
        <patternFill>
          <bgColor theme="9" tint="-0.24994659260841701"/>
        </patternFill>
      </fill>
    </dxf>
    <dxf>
      <fill>
        <patternFill>
          <bgColor rgb="FFFFFF00"/>
        </patternFill>
      </fill>
    </dxf>
    <dxf>
      <fill>
        <patternFill>
          <bgColor theme="9" tint="-0.24994659260841701"/>
        </patternFill>
      </fill>
    </dxf>
    <dxf>
      <fill>
        <patternFill>
          <bgColor rgb="FFC00000"/>
        </patternFill>
      </fill>
    </dxf>
    <dxf>
      <fill>
        <patternFill>
          <bgColor rgb="FF92D050"/>
        </patternFill>
      </fill>
    </dxf>
    <dxf>
      <fill>
        <patternFill>
          <bgColor rgb="FFFFFF00"/>
        </patternFill>
      </fill>
    </dxf>
    <dxf>
      <fill>
        <patternFill>
          <bgColor rgb="FFC00000"/>
        </patternFill>
      </fill>
    </dxf>
    <dxf>
      <fill>
        <patternFill>
          <bgColor rgb="FF92D050"/>
        </patternFill>
      </fill>
    </dxf>
    <dxf>
      <fill>
        <patternFill>
          <bgColor rgb="FFFFFF00"/>
        </patternFill>
      </fill>
    </dxf>
    <dxf>
      <fill>
        <patternFill>
          <bgColor theme="9" tint="-0.24994659260841701"/>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00B050"/>
        </patternFill>
      </fill>
    </dxf>
    <dxf>
      <fill>
        <patternFill>
          <bgColor rgb="FFFFFF66"/>
        </patternFill>
      </fill>
    </dxf>
    <dxf>
      <fill>
        <patternFill>
          <bgColor rgb="FF00B050"/>
        </patternFill>
      </fill>
    </dxf>
    <dxf>
      <fill>
        <patternFill>
          <bgColor rgb="FFFFC000"/>
        </patternFill>
      </fill>
    </dxf>
    <dxf>
      <font>
        <color auto="1"/>
      </font>
      <fill>
        <patternFill>
          <bgColor rgb="FF92D050"/>
        </patternFill>
      </fill>
    </dxf>
    <dxf>
      <fill>
        <patternFill>
          <bgColor rgb="FFFF0000"/>
        </patternFill>
      </fill>
    </dxf>
    <dxf>
      <fill>
        <patternFill>
          <bgColor rgb="FFFFFF66"/>
        </patternFill>
      </fill>
    </dxf>
    <dxf>
      <fill>
        <patternFill>
          <bgColor rgb="FF00B050"/>
        </patternFill>
      </fill>
    </dxf>
    <dxf>
      <fill>
        <patternFill>
          <bgColor rgb="FFFFC000"/>
        </patternFill>
      </fill>
    </dxf>
    <dxf>
      <fill>
        <patternFill>
          <bgColor rgb="FFFF0000"/>
        </patternFill>
      </fill>
    </dxf>
    <dxf>
      <fill>
        <patternFill>
          <bgColor rgb="FFFFFF66"/>
        </patternFill>
      </fill>
    </dxf>
    <dxf>
      <font>
        <color auto="1"/>
      </font>
      <fill>
        <patternFill>
          <bgColor rgb="FF92D050"/>
        </patternFill>
      </fill>
    </dxf>
    <dxf>
      <fill>
        <patternFill>
          <bgColor rgb="FFFFFF66"/>
        </patternFill>
      </fill>
    </dxf>
    <dxf>
      <fill>
        <patternFill>
          <bgColor rgb="FFFFC000"/>
        </patternFill>
      </fill>
    </dxf>
    <dxf>
      <fill>
        <patternFill>
          <bgColor rgb="FFFF0000"/>
        </patternFill>
      </fill>
    </dxf>
    <dxf>
      <font>
        <color auto="1"/>
      </font>
      <fill>
        <patternFill>
          <bgColor rgb="FF92D050"/>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FF66"/>
        </patternFill>
      </fill>
    </dxf>
    <dxf>
      <fill>
        <patternFill>
          <bgColor rgb="FF00B050"/>
        </patternFill>
      </fill>
    </dxf>
    <dxf>
      <font>
        <color auto="1"/>
      </font>
      <fill>
        <patternFill>
          <bgColor rgb="FF92D050"/>
        </patternFill>
      </fill>
    </dxf>
    <dxf>
      <fill>
        <patternFill>
          <bgColor rgb="FFFFC00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FF0000"/>
        </patternFill>
      </fill>
    </dxf>
    <dxf>
      <font>
        <color auto="1"/>
      </font>
      <fill>
        <patternFill>
          <bgColor rgb="FF92D050"/>
        </patternFill>
      </fill>
    </dxf>
    <dxf>
      <fill>
        <patternFill>
          <bgColor rgb="FFFFC000"/>
        </patternFill>
      </fill>
    </dxf>
    <dxf>
      <fill>
        <patternFill>
          <bgColor rgb="FFFF0000"/>
        </patternFill>
      </fill>
    </dxf>
    <dxf>
      <fill>
        <patternFill>
          <bgColor rgb="FFFFFF66"/>
        </patternFill>
      </fill>
    </dxf>
    <dxf>
      <fill>
        <patternFill>
          <bgColor rgb="FF00B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ont>
        <color auto="1"/>
      </font>
      <fill>
        <patternFill>
          <bgColor rgb="FF92D050"/>
        </patternFill>
      </fill>
    </dxf>
    <dxf>
      <fill>
        <patternFill>
          <bgColor rgb="FFFF0000"/>
        </patternFill>
      </fill>
    </dxf>
    <dxf>
      <fill>
        <patternFill>
          <bgColor rgb="FFFFC000"/>
        </patternFill>
      </fill>
    </dxf>
    <dxf>
      <fill>
        <patternFill>
          <bgColor rgb="FFFFFF66"/>
        </patternFill>
      </fill>
    </dxf>
    <dxf>
      <fill>
        <patternFill>
          <bgColor rgb="FF00B050"/>
        </patternFill>
      </fill>
    </dxf>
    <dxf>
      <font>
        <color auto="1"/>
      </font>
      <fill>
        <patternFill>
          <bgColor rgb="FF92D050"/>
        </patternFill>
      </fill>
    </dxf>
    <dxf>
      <fill>
        <patternFill>
          <bgColor rgb="FF00B050"/>
        </patternFill>
      </fill>
    </dxf>
    <dxf>
      <fill>
        <patternFill>
          <bgColor rgb="FFFFFF66"/>
        </patternFill>
      </fill>
    </dxf>
    <dxf>
      <fill>
        <patternFill>
          <bgColor rgb="FFFFC000"/>
        </patternFill>
      </fill>
    </dxf>
    <dxf>
      <fill>
        <patternFill>
          <bgColor rgb="FFFF0000"/>
        </patternFill>
      </fill>
    </dxf>
    <dxf>
      <fill>
        <patternFill>
          <bgColor rgb="FFFFFF66"/>
        </patternFill>
      </fill>
    </dxf>
    <dxf>
      <fill>
        <patternFill>
          <bgColor rgb="FFFF0000"/>
        </patternFill>
      </fill>
    </dxf>
    <dxf>
      <font>
        <color auto="1"/>
      </font>
      <fill>
        <patternFill>
          <bgColor rgb="FF92D050"/>
        </patternFill>
      </fill>
    </dxf>
    <dxf>
      <fill>
        <patternFill>
          <bgColor rgb="FFFFC000"/>
        </patternFill>
      </fill>
    </dxf>
    <dxf>
      <fill>
        <patternFill>
          <bgColor rgb="FF00B050"/>
        </patternFill>
      </fill>
    </dxf>
    <dxf>
      <font>
        <color auto="1"/>
      </font>
      <fill>
        <patternFill>
          <bgColor rgb="FF92D050"/>
        </patternFill>
      </fill>
    </dxf>
    <dxf>
      <fill>
        <patternFill>
          <bgColor rgb="FFFFC000"/>
        </patternFill>
      </fill>
    </dxf>
    <dxf>
      <fill>
        <patternFill>
          <bgColor rgb="FF00B050"/>
        </patternFill>
      </fill>
    </dxf>
    <dxf>
      <fill>
        <patternFill>
          <bgColor rgb="FFFF0000"/>
        </patternFill>
      </fill>
    </dxf>
    <dxf>
      <fill>
        <patternFill>
          <bgColor rgb="FFFFFF66"/>
        </patternFill>
      </fill>
    </dxf>
    <dxf>
      <fill>
        <patternFill>
          <bgColor rgb="FFFF0000"/>
        </patternFill>
      </fill>
    </dxf>
    <dxf>
      <fill>
        <patternFill>
          <bgColor rgb="FFFFC000"/>
        </patternFill>
      </fill>
    </dxf>
    <dxf>
      <fill>
        <patternFill>
          <bgColor rgb="FFFFFF00"/>
        </patternFill>
      </fill>
    </dxf>
    <dxf>
      <fill>
        <patternFill>
          <bgColor rgb="FF92D050"/>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Calibri"/>
        <scheme val="minor"/>
      </font>
      <fill>
        <patternFill patternType="none">
          <fgColor indexed="64"/>
          <bgColor indexed="65"/>
        </patternFill>
      </fill>
    </dxf>
    <dxf>
      <font>
        <b val="0"/>
        <i val="0"/>
        <strike val="0"/>
        <condense val="0"/>
        <extend val="0"/>
        <outline val="0"/>
        <shadow val="0"/>
        <u val="none"/>
        <vertAlign val="baseline"/>
        <sz val="16"/>
        <color rgb="FFFF0000"/>
        <name val="Arial Narrow"/>
        <scheme val="none"/>
      </font>
      <fill>
        <patternFill patternType="none">
          <fgColor indexed="64"/>
          <bgColor indexed="65"/>
        </patternFill>
      </fill>
      <alignment horizontal="general" vertical="center" textRotation="0" wrapText="0" indent="0" justifyLastLine="0" shrinkToFit="0" readingOrder="0"/>
    </dxf>
  </dxfs>
  <tableStyles count="0" defaultTableStyle="TableStyleMedium2" defaultPivotStyle="PivotStyleLight16"/>
  <colors>
    <mruColors>
      <color rgb="FFFFFF66"/>
      <color rgb="FFFFCC00"/>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pivotCacheDefinition" Target="pivotCache/pivotCacheDefinition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56029</xdr:colOff>
      <xdr:row>0</xdr:row>
      <xdr:rowOff>224117</xdr:rowOff>
    </xdr:from>
    <xdr:to>
      <xdr:col>0</xdr:col>
      <xdr:colOff>1013479</xdr:colOff>
      <xdr:row>3</xdr:row>
      <xdr:rowOff>111804</xdr:rowOff>
    </xdr:to>
    <xdr:pic>
      <xdr:nvPicPr>
        <xdr:cNvPr id="2" name="2 Imagen">
          <a:extLst>
            <a:ext uri="{FF2B5EF4-FFF2-40B4-BE49-F238E27FC236}">
              <a16:creationId xmlns:a16="http://schemas.microsoft.com/office/drawing/2014/main" id="{895FBBEB-B3D8-4539-A873-831E59B576F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6029" y="224117"/>
          <a:ext cx="957450" cy="630637"/>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462643</xdr:colOff>
      <xdr:row>0</xdr:row>
      <xdr:rowOff>133350</xdr:rowOff>
    </xdr:from>
    <xdr:to>
      <xdr:col>2</xdr:col>
      <xdr:colOff>1420093</xdr:colOff>
      <xdr:row>3</xdr:row>
      <xdr:rowOff>139411</xdr:rowOff>
    </xdr:to>
    <xdr:pic>
      <xdr:nvPicPr>
        <xdr:cNvPr id="2" name="2 Imagen">
          <a:extLst>
            <a:ext uri="{FF2B5EF4-FFF2-40B4-BE49-F238E27FC236}">
              <a16:creationId xmlns:a16="http://schemas.microsoft.com/office/drawing/2014/main" id="{9CAAAA51-F288-4314-A169-58AA8D15E1B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34786" y="133350"/>
          <a:ext cx="957450" cy="618382"/>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25</xdr:col>
      <xdr:colOff>0</xdr:colOff>
      <xdr:row>24</xdr:row>
      <xdr:rowOff>128588</xdr:rowOff>
    </xdr:from>
    <xdr:to>
      <xdr:col>25</xdr:col>
      <xdr:colOff>0</xdr:colOff>
      <xdr:row>26</xdr:row>
      <xdr:rowOff>179293</xdr:rowOff>
    </xdr:to>
    <xdr:pic>
      <xdr:nvPicPr>
        <xdr:cNvPr id="2" name="Imagen 1">
          <a:extLst>
            <a:ext uri="{FF2B5EF4-FFF2-40B4-BE49-F238E27FC236}">
              <a16:creationId xmlns:a16="http://schemas.microsoft.com/office/drawing/2014/main" id="{D4F62BF1-CA96-42C3-B302-FB4A81B3B98A}"/>
            </a:ext>
          </a:extLst>
        </xdr:cNvPr>
        <xdr:cNvPicPr>
          <a:picLocks noChangeAspect="1"/>
        </xdr:cNvPicPr>
      </xdr:nvPicPr>
      <xdr:blipFill>
        <a:blip xmlns:r="http://schemas.openxmlformats.org/officeDocument/2006/relationships" r:embed="rId1"/>
        <a:stretch>
          <a:fillRect/>
        </a:stretch>
      </xdr:blipFill>
      <xdr:spPr>
        <a:xfrm>
          <a:off x="16146780" y="24352568"/>
          <a:ext cx="0" cy="2412905"/>
        </a:xfrm>
        <a:prstGeom prst="rect">
          <a:avLst/>
        </a:prstGeom>
      </xdr:spPr>
    </xdr:pic>
    <xdr:clientData/>
  </xdr:twoCellAnchor>
  <xdr:twoCellAnchor editAs="oneCell">
    <xdr:from>
      <xdr:col>25</xdr:col>
      <xdr:colOff>0</xdr:colOff>
      <xdr:row>26</xdr:row>
      <xdr:rowOff>0</xdr:rowOff>
    </xdr:from>
    <xdr:to>
      <xdr:col>25</xdr:col>
      <xdr:colOff>0</xdr:colOff>
      <xdr:row>27</xdr:row>
      <xdr:rowOff>0</xdr:rowOff>
    </xdr:to>
    <xdr:pic>
      <xdr:nvPicPr>
        <xdr:cNvPr id="3" name="Imagen 2">
          <a:extLst>
            <a:ext uri="{FF2B5EF4-FFF2-40B4-BE49-F238E27FC236}">
              <a16:creationId xmlns:a16="http://schemas.microsoft.com/office/drawing/2014/main" id="{4BE19849-660D-4E4E-87F4-CB104089D989}"/>
            </a:ext>
          </a:extLst>
        </xdr:cNvPr>
        <xdr:cNvPicPr>
          <a:picLocks noChangeAspect="1"/>
        </xdr:cNvPicPr>
      </xdr:nvPicPr>
      <xdr:blipFill rotWithShape="1">
        <a:blip xmlns:r="http://schemas.openxmlformats.org/officeDocument/2006/relationships" r:embed="rId2"/>
        <a:srcRect l="6425" t="17904" r="5370" b="16965"/>
        <a:stretch/>
      </xdr:blipFill>
      <xdr:spPr>
        <a:xfrm>
          <a:off x="16146780" y="26586180"/>
          <a:ext cx="0" cy="18288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3" Type="http://schemas.microsoft.com/office/2019/04/relationships/externalLinkLongPath" Target="https://udeaeduco-my.sharepoint.com/Users/ATHLON/Documents/CONTRATO%20ISVIMED_CES%202021/DESARROLLO%20DE%20CONTRATO/MATRICES%20DE%20RIESGO%20EN%20ACTUALIZACION/MATRICES%20DE%20RIESGO/GESTION%20HUMANA/MATRIZ%20DE%20RIESGOS%20GESTI&#211;N%20HUMANA_v2021_FINAL.xlsx?BB1F78B2" TargetMode="External"/><Relationship Id="rId2" Type="http://schemas.openxmlformats.org/officeDocument/2006/relationships/externalLinkPath" Target="file:///\\BB1F78B2\MATRIZ%20DE%20RIESGOS%20GESTI&#211;N%20HUMANA_v2021_FINAL.xlsx" TargetMode="External"/><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Andres Marin" refreshedDate="44186.276661689815" createdVersion="6" refreshedVersion="6" minRefreshableVersion="3" recordCount="10" xr:uid="{23B207FB-AACA-4158-8C90-A13999A21E4E}">
  <cacheSource type="worksheet">
    <worksheetSource name="Tabla1" r:id="rId2"/>
  </cacheSource>
  <cacheFields count="2">
    <cacheField name="Criterios" numFmtId="0">
      <sharedItems count="2">
        <s v="Afectación Económica o presupuestal"/>
        <s v="Pérdida Reputacional"/>
      </sharedItems>
    </cacheField>
    <cacheField name="Subcriterios" numFmtId="0">
      <sharedItems count="10">
        <s v="Afectación menor a 10 SMLMV ."/>
        <s v="Entre 10 y 50 SMLMV "/>
        <s v="Entre 50 y 100 SMLMV "/>
        <s v="Entre 100 y 500 SMLMV "/>
        <s v="Mayor a 500 SMLMV "/>
        <s v="El riesgo afecta la imagen de alguna área de la organización"/>
        <s v="El riesgo afecta la imagen de la entidad internamente, de conocimiento general, nivel interno, de junta dircetiva y accionistas y/o de provedores"/>
        <s v="El riesgo afecta la imagen de la entidad con algunos usuarios de relevancia frente al logro de los objetivos"/>
        <s v="El riesgo afecta la imagen de de la entidad con efecto publicitario sostenido a nivel de sector administrativo, nivel departamental o municipal"/>
        <s v="El riesgo afecta la imagen de la entidad a nivel nacional, con efecto publicitarios sostenible a nivel país"/>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0">
  <r>
    <x v="0"/>
    <x v="0"/>
  </r>
  <r>
    <x v="0"/>
    <x v="1"/>
  </r>
  <r>
    <x v="0"/>
    <x v="2"/>
  </r>
  <r>
    <x v="0"/>
    <x v="3"/>
  </r>
  <r>
    <x v="0"/>
    <x v="4"/>
  </r>
  <r>
    <x v="1"/>
    <x v="5"/>
  </r>
  <r>
    <x v="1"/>
    <x v="6"/>
  </r>
  <r>
    <x v="1"/>
    <x v="7"/>
  </r>
  <r>
    <x v="1"/>
    <x v="8"/>
  </r>
  <r>
    <x v="1"/>
    <x v="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6242FF9C-BA41-4544-9A8B-459317183924}" name="TablaDinámica1" cacheId="0" applyNumberFormats="0" applyBorderFormats="0" applyFontFormats="0" applyPatternFormats="0" applyAlignmentFormats="0" applyWidthHeightFormats="1" dataCaption="Valores" updatedVersion="6" minRefreshableVersion="3" useAutoFormatting="1" rowGrandTotals="0" colGrandTotals="0" itemPrintTitles="1" createdVersion="6" indent="0" compact="0" outline="1" outlineData="1" compactData="0" multipleFieldFilters="0">
  <location ref="F208:G220" firstHeaderRow="1" firstDataRow="1" firstDataCol="2"/>
  <pivotFields count="2">
    <pivotField axis="axisRow" compact="0" showAll="0" defaultSubtotal="0">
      <items count="2">
        <item x="0"/>
        <item x="1"/>
      </items>
    </pivotField>
    <pivotField axis="axisRow" compact="0" showAll="0" defaultSubtotal="0">
      <items count="10">
        <item x="0"/>
        <item x="5"/>
        <item x="6"/>
        <item x="7"/>
        <item x="8"/>
        <item x="9"/>
        <item x="1"/>
        <item x="2"/>
        <item x="3"/>
        <item x="4"/>
      </items>
    </pivotField>
  </pivotFields>
  <rowFields count="2">
    <field x="0"/>
    <field x="1"/>
  </rowFields>
  <rowItems count="12">
    <i>
      <x/>
    </i>
    <i r="1">
      <x/>
    </i>
    <i r="1">
      <x v="6"/>
    </i>
    <i r="1">
      <x v="7"/>
    </i>
    <i r="1">
      <x v="8"/>
    </i>
    <i r="1">
      <x v="9"/>
    </i>
    <i>
      <x v="1"/>
    </i>
    <i r="1">
      <x v="1"/>
    </i>
    <i r="1">
      <x v="2"/>
    </i>
    <i r="1">
      <x v="3"/>
    </i>
    <i r="1">
      <x v="4"/>
    </i>
    <i r="1">
      <x v="5"/>
    </i>
  </rowItems>
  <colItems count="1">
    <i/>
  </colItem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D6EC912-22DD-4A72-A967-B775A349E235}" name="Tabla13" displayName="Tabla13" ref="B208:C218" totalsRowShown="0" headerRowDxfId="301" dataDxfId="300">
  <autoFilter ref="B208:C218" xr:uid="{00000000-0009-0000-0100-000001000000}"/>
  <tableColumns count="2">
    <tableColumn id="1" xr3:uid="{9E9A9578-4E04-488A-BBF0-AF85DE280E17}" name="Criterios" dataDxfId="299"/>
    <tableColumn id="2" xr3:uid="{0D82EFC9-95F1-4FC4-8C5A-F40A29A6C681}" name="Subcriterios" dataDxfId="298"/>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8.bin"/><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3F107D-1118-4559-BA88-6532DB80296E}">
  <dimension ref="A1:L26"/>
  <sheetViews>
    <sheetView showGridLines="0" zoomScale="85" zoomScaleNormal="85" workbookViewId="0">
      <selection activeCell="J25" sqref="J25"/>
    </sheetView>
  </sheetViews>
  <sheetFormatPr baseColWidth="10" defaultColWidth="0" defaultRowHeight="14.4" customHeight="1" zeroHeight="1" x14ac:dyDescent="0.3"/>
  <cols>
    <col min="1" max="1" width="30.5546875" customWidth="1"/>
    <col min="2" max="2" width="29.44140625" customWidth="1"/>
    <col min="3" max="3" width="10.6640625" customWidth="1"/>
    <col min="4" max="4" width="27.44140625" customWidth="1"/>
    <col min="5" max="5" width="10.6640625" customWidth="1"/>
    <col min="6" max="6" width="14.44140625" customWidth="1"/>
    <col min="7" max="12" width="10.6640625" customWidth="1"/>
    <col min="13" max="16384" width="10.6640625" hidden="1"/>
  </cols>
  <sheetData>
    <row r="1" spans="1:11" s="127" customFormat="1" ht="8.25" customHeight="1" x14ac:dyDescent="0.25">
      <c r="A1" s="207"/>
      <c r="B1" s="207"/>
      <c r="C1" s="207"/>
      <c r="D1" s="135"/>
      <c r="F1" s="208"/>
    </row>
    <row r="2" spans="1:11" s="211" customFormat="1" ht="38.4" customHeight="1" x14ac:dyDescent="0.3">
      <c r="A2" s="237" t="s">
        <v>0</v>
      </c>
      <c r="B2" s="238"/>
      <c r="C2" s="238"/>
      <c r="D2" s="239"/>
      <c r="E2" s="209"/>
      <c r="F2" s="210"/>
    </row>
    <row r="3" spans="1:11" s="211" customFormat="1" ht="11.4" customHeight="1" x14ac:dyDescent="0.3">
      <c r="A3" s="212"/>
      <c r="B3" s="213"/>
      <c r="C3" s="213"/>
      <c r="D3" s="213"/>
      <c r="E3" s="209"/>
      <c r="F3" s="210"/>
    </row>
    <row r="4" spans="1:11" ht="21.6" customHeight="1" thickBot="1" x14ac:dyDescent="0.35">
      <c r="A4" s="214" t="s">
        <v>1</v>
      </c>
      <c r="B4" s="240" t="str">
        <f>'2. MATRIZ DE RIESGOS'!D6</f>
        <v>Gestión Social</v>
      </c>
      <c r="C4" s="241"/>
      <c r="D4" s="241"/>
    </row>
    <row r="5" spans="1:11" ht="15" thickBot="1" x14ac:dyDescent="0.35">
      <c r="A5" s="242" t="s">
        <v>2</v>
      </c>
      <c r="B5" s="243"/>
      <c r="C5" s="243"/>
      <c r="D5" s="243"/>
      <c r="E5" s="243"/>
      <c r="F5" s="243"/>
      <c r="G5" s="243"/>
      <c r="H5" s="243"/>
      <c r="I5" s="243"/>
      <c r="J5" s="243"/>
      <c r="K5" s="244"/>
    </row>
    <row r="6" spans="1:11" ht="6" customHeight="1" thickBot="1" x14ac:dyDescent="0.35">
      <c r="A6" s="242"/>
      <c r="B6" s="243"/>
      <c r="C6" s="243"/>
      <c r="D6" s="243"/>
      <c r="E6" s="243"/>
      <c r="F6" s="243"/>
      <c r="G6" s="243"/>
      <c r="H6" s="243"/>
      <c r="I6" s="243"/>
      <c r="J6" s="243"/>
      <c r="K6" s="244"/>
    </row>
    <row r="7" spans="1:11" ht="34.5" customHeight="1" x14ac:dyDescent="0.3">
      <c r="A7" s="245" t="s">
        <v>3</v>
      </c>
      <c r="B7" s="246"/>
      <c r="C7" s="246"/>
      <c r="D7" s="246"/>
      <c r="E7" s="246"/>
      <c r="F7" s="246"/>
      <c r="G7" s="246"/>
      <c r="H7" s="246"/>
      <c r="I7" s="246"/>
      <c r="J7" s="246"/>
      <c r="K7" s="247"/>
    </row>
    <row r="8" spans="1:11" ht="18.75" customHeight="1" x14ac:dyDescent="0.3">
      <c r="A8" s="248" t="s">
        <v>4</v>
      </c>
      <c r="B8" s="249"/>
      <c r="C8" s="249"/>
      <c r="D8" s="249"/>
      <c r="E8" s="249"/>
      <c r="F8" s="249"/>
      <c r="G8" s="249"/>
      <c r="H8" s="249"/>
      <c r="I8" s="249"/>
      <c r="J8" s="249"/>
      <c r="K8" s="250"/>
    </row>
    <row r="9" spans="1:11" ht="34.5" customHeight="1" x14ac:dyDescent="0.3">
      <c r="A9" s="228" t="s">
        <v>5</v>
      </c>
      <c r="B9" s="229"/>
      <c r="C9" s="229"/>
      <c r="D9" s="229"/>
      <c r="E9" s="229"/>
      <c r="F9" s="229"/>
      <c r="G9" s="229"/>
      <c r="H9" s="229"/>
      <c r="I9" s="229"/>
      <c r="J9" s="229"/>
      <c r="K9" s="230"/>
    </row>
    <row r="10" spans="1:11" ht="50.25" customHeight="1" thickBot="1" x14ac:dyDescent="0.35">
      <c r="A10" s="231" t="s">
        <v>6</v>
      </c>
      <c r="B10" s="232"/>
      <c r="C10" s="232"/>
      <c r="D10" s="232"/>
      <c r="E10" s="232"/>
      <c r="F10" s="232"/>
      <c r="G10" s="232"/>
      <c r="H10" s="232"/>
      <c r="I10" s="232"/>
      <c r="J10" s="232"/>
      <c r="K10" s="233"/>
    </row>
    <row r="11" spans="1:11" x14ac:dyDescent="0.3">
      <c r="A11" s="215"/>
      <c r="B11" s="215"/>
      <c r="C11" s="215"/>
      <c r="D11" s="215"/>
      <c r="E11" s="215"/>
      <c r="F11" s="215"/>
      <c r="G11" s="215"/>
      <c r="H11" s="215"/>
      <c r="I11" s="215"/>
      <c r="J11" s="215"/>
      <c r="K11" s="215"/>
    </row>
    <row r="12" spans="1:11" s="217" customFormat="1" ht="39.6" x14ac:dyDescent="0.3">
      <c r="A12" s="216"/>
      <c r="B12" s="234" t="s">
        <v>7</v>
      </c>
      <c r="C12" s="235"/>
      <c r="D12" s="236" t="s">
        <v>8</v>
      </c>
      <c r="E12" s="236"/>
      <c r="G12" s="147" t="s">
        <v>9</v>
      </c>
    </row>
    <row r="13" spans="1:11" x14ac:dyDescent="0.3">
      <c r="A13" s="218" t="s">
        <v>10</v>
      </c>
      <c r="B13" s="219">
        <f>+COUNTIF('MAPA CALOR INHERENTE'!$E$6:$E$26,'4. PEFIL RIESGO DEL PROCESO'!G13)</f>
        <v>1</v>
      </c>
      <c r="C13" s="220">
        <f>+B13/$B$17</f>
        <v>6.6666666666666666E-2</v>
      </c>
      <c r="D13" s="219">
        <f>+COUNTIF('MAPA CALOR RESIDUAL'!$G$7:$G$26,'4. PEFIL RIESGO DEL PROCESO'!G13)</f>
        <v>0</v>
      </c>
      <c r="E13" s="220">
        <f>+D13/$D$17</f>
        <v>0</v>
      </c>
      <c r="G13" s="188" t="s">
        <v>11</v>
      </c>
    </row>
    <row r="14" spans="1:11" x14ac:dyDescent="0.3">
      <c r="A14" s="218" t="s">
        <v>12</v>
      </c>
      <c r="B14" s="219">
        <f>+COUNTIF('MAPA CALOR INHERENTE'!$E$6:$E$26,'4. PEFIL RIESGO DEL PROCESO'!G14)</f>
        <v>7</v>
      </c>
      <c r="C14" s="220">
        <f>+B14/$B$17</f>
        <v>0.46666666666666667</v>
      </c>
      <c r="D14" s="219">
        <f>+COUNTIF('MAPA CALOR RESIDUAL'!$G$7:$G$26,'4. PEFIL RIESGO DEL PROCESO'!G14)</f>
        <v>0</v>
      </c>
      <c r="E14" s="220">
        <f>+D14/$D$17</f>
        <v>0</v>
      </c>
      <c r="G14" s="171" t="s">
        <v>13</v>
      </c>
    </row>
    <row r="15" spans="1:11" x14ac:dyDescent="0.3">
      <c r="A15" s="218" t="s">
        <v>14</v>
      </c>
      <c r="B15" s="219">
        <f>+COUNTIF('MAPA CALOR INHERENTE'!$E$6:$E$26,'4. PEFIL RIESGO DEL PROCESO'!G15)</f>
        <v>7</v>
      </c>
      <c r="C15" s="220">
        <f>+B15/$B$17</f>
        <v>0.46666666666666667</v>
      </c>
      <c r="D15" s="219">
        <f>+COUNTIF('MAPA CALOR RESIDUAL'!$G$7:$G$26,'4. PEFIL RIESGO DEL PROCESO'!G15)</f>
        <v>14</v>
      </c>
      <c r="E15" s="220">
        <f>+D15/$D$17</f>
        <v>1</v>
      </c>
      <c r="G15" s="175" t="s">
        <v>15</v>
      </c>
    </row>
    <row r="16" spans="1:11" x14ac:dyDescent="0.3">
      <c r="A16" s="218" t="s">
        <v>16</v>
      </c>
      <c r="B16" s="219">
        <f>+COUNTIF('MAPA CALOR INHERENTE'!$E$6:$E$26,'4. PEFIL RIESGO DEL PROCESO'!G16)</f>
        <v>0</v>
      </c>
      <c r="C16" s="220">
        <f>+B16/$B$17</f>
        <v>0</v>
      </c>
      <c r="D16" s="219">
        <f>+COUNTIF('MAPA CALOR RESIDUAL'!$G$7:$G$26,'4. PEFIL RIESGO DEL PROCESO'!G16)</f>
        <v>0</v>
      </c>
      <c r="E16" s="220">
        <f>+D16/$D$17</f>
        <v>0</v>
      </c>
      <c r="G16" s="179" t="s">
        <v>17</v>
      </c>
    </row>
    <row r="17" spans="1:5" x14ac:dyDescent="0.3">
      <c r="A17" s="218" t="s">
        <v>18</v>
      </c>
      <c r="B17" s="219">
        <f>+SUM(B13:B16)</f>
        <v>15</v>
      </c>
      <c r="C17" s="220">
        <f>+B17/$B$17</f>
        <v>1</v>
      </c>
      <c r="D17" s="219">
        <f>+SUM(D13:D16)</f>
        <v>14</v>
      </c>
      <c r="E17" s="220">
        <f>+D17/$D$17</f>
        <v>1</v>
      </c>
    </row>
    <row r="18" spans="1:5" x14ac:dyDescent="0.3"/>
    <row r="19" spans="1:5" s="221" customFormat="1" x14ac:dyDescent="0.3">
      <c r="B19" s="222" t="s">
        <v>7</v>
      </c>
      <c r="D19" s="222" t="s">
        <v>8</v>
      </c>
    </row>
    <row r="20" spans="1:5" s="221" customFormat="1" ht="41.7" customHeight="1" x14ac:dyDescent="0.3">
      <c r="B20" s="223" t="str">
        <f>+IF((B13/B17)&gt;=0.2,G13,+IF(((B13/B17)+(B14/B17))&gt;=0.3,G14,+IF(((B13/B17)+(B14/B17)+(B15/B17))&gt;=0.4,G15,+IF((B13/B17)+(B14/B17)+(B15/B17)+(B16/B17)&gt;=0.5,G16,""))))</f>
        <v>Alto</v>
      </c>
      <c r="D20" s="223" t="str">
        <f>+IF((D13/D17)&gt;=0.2,G13,+IF(((D13/D17)+(D14/D17))&gt;=0.3,G14,+IF(((D13/D17)+(D14/D17)+(D15/D17))&gt;=0.4,G15,+IF((D13/D17)+(D14/D17)+(D15/D17)+(D16/D17)&gt;=0.5,G16,""))))</f>
        <v>Moderado</v>
      </c>
    </row>
    <row r="21" spans="1:5" x14ac:dyDescent="0.3"/>
    <row r="22" spans="1:5" ht="18" x14ac:dyDescent="0.35">
      <c r="D22" s="224" t="s">
        <v>19</v>
      </c>
      <c r="E22" s="225">
        <f>SUM(D13:D14)</f>
        <v>0</v>
      </c>
    </row>
    <row r="23" spans="1:5" x14ac:dyDescent="0.3">
      <c r="D23" s="226"/>
      <c r="E23" s="227"/>
    </row>
    <row r="24" spans="1:5" x14ac:dyDescent="0.3">
      <c r="D24" s="226"/>
      <c r="E24" s="227"/>
    </row>
    <row r="25" spans="1:5" x14ac:dyDescent="0.3"/>
    <row r="26" spans="1:5" x14ac:dyDescent="0.3"/>
  </sheetData>
  <sheetProtection formatCells="0" formatColumns="0" formatRows="0"/>
  <mergeCells count="10">
    <mergeCell ref="A9:K9"/>
    <mergeCell ref="A10:K10"/>
    <mergeCell ref="B12:C12"/>
    <mergeCell ref="D12:E12"/>
    <mergeCell ref="A2:D2"/>
    <mergeCell ref="B4:D4"/>
    <mergeCell ref="A5:K5"/>
    <mergeCell ref="A6:K6"/>
    <mergeCell ref="A7:K7"/>
    <mergeCell ref="A8:K8"/>
  </mergeCells>
  <conditionalFormatting sqref="B20:D20">
    <cfRule type="containsText" dxfId="297" priority="1" operator="containsText" text="Bajo">
      <formula>NOT(ISERROR(SEARCH("Bajo",B20)))</formula>
    </cfRule>
    <cfRule type="containsText" dxfId="296" priority="2" operator="containsText" text="Moderado">
      <formula>NOT(ISERROR(SEARCH("Moderado",B20)))</formula>
    </cfRule>
    <cfRule type="containsText" dxfId="295" priority="3" operator="containsText" text="Alto">
      <formula>NOT(ISERROR(SEARCH("Alto",B20)))</formula>
    </cfRule>
    <cfRule type="containsText" dxfId="294" priority="4" operator="containsText" text="Extremo">
      <formula>NOT(ISERROR(SEARCH("Extremo",B20)))</formula>
    </cfRule>
  </conditionalFormatting>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A78F9-D6E7-435E-911E-C3180B40DBBB}">
  <dimension ref="A1:M44"/>
  <sheetViews>
    <sheetView showGridLines="0" zoomScale="70" zoomScaleNormal="70" workbookViewId="0">
      <selection activeCell="G13" sqref="G13"/>
    </sheetView>
  </sheetViews>
  <sheetFormatPr baseColWidth="10" defaultColWidth="24.33203125" defaultRowHeight="15.6" x14ac:dyDescent="0.3"/>
  <cols>
    <col min="1" max="1" width="15.6640625" style="61" customWidth="1"/>
    <col min="2" max="2" width="22.44140625" style="61" customWidth="1"/>
    <col min="3" max="3" width="34.33203125" style="61" hidden="1" customWidth="1"/>
    <col min="4" max="4" width="24.109375" style="61" customWidth="1"/>
    <col min="5" max="5" width="20.44140625" style="61" customWidth="1"/>
    <col min="6" max="6" width="23.109375" style="61" customWidth="1"/>
    <col min="7" max="7" width="27.88671875" style="61" customWidth="1"/>
    <col min="8" max="8" width="27.88671875" style="61" hidden="1" customWidth="1"/>
    <col min="9" max="9" width="17.5546875" style="61" customWidth="1"/>
    <col min="10" max="10" width="20.6640625" style="61" customWidth="1"/>
    <col min="11" max="11" width="19.5546875" style="61" customWidth="1"/>
    <col min="12" max="12" width="19.33203125" style="61" customWidth="1"/>
    <col min="13" max="13" width="14.88671875" style="61" customWidth="1"/>
    <col min="14" max="14" width="19.5546875" style="61" customWidth="1"/>
    <col min="15" max="15" width="16.109375" style="61" customWidth="1"/>
    <col min="16" max="16" width="24.33203125" style="61"/>
    <col min="17" max="17" width="15.5546875" style="61" customWidth="1"/>
    <col min="18" max="18" width="17.33203125" style="61" customWidth="1"/>
    <col min="19" max="19" width="20.44140625" style="61" customWidth="1"/>
    <col min="20" max="20" width="21.44140625" style="61" customWidth="1"/>
    <col min="21" max="21" width="19.88671875" style="61" customWidth="1"/>
    <col min="22" max="16384" width="24.33203125" style="61"/>
  </cols>
  <sheetData>
    <row r="1" spans="1:13" s="62" customFormat="1" ht="20.100000000000001" customHeight="1" x14ac:dyDescent="0.3">
      <c r="A1" s="251"/>
      <c r="B1" s="254" t="s">
        <v>20</v>
      </c>
      <c r="C1" s="255"/>
      <c r="D1" s="255"/>
      <c r="E1" s="255"/>
      <c r="F1" s="255"/>
      <c r="G1" s="255"/>
      <c r="H1" s="255"/>
      <c r="I1" s="255"/>
      <c r="J1" s="255"/>
      <c r="K1" s="256"/>
      <c r="L1" s="263" t="s">
        <v>21</v>
      </c>
      <c r="M1" s="263"/>
    </row>
    <row r="2" spans="1:13" s="62" customFormat="1" ht="20.100000000000001" customHeight="1" x14ac:dyDescent="0.3">
      <c r="A2" s="252"/>
      <c r="B2" s="257"/>
      <c r="C2" s="258"/>
      <c r="D2" s="258"/>
      <c r="E2" s="258"/>
      <c r="F2" s="258"/>
      <c r="G2" s="258"/>
      <c r="H2" s="258"/>
      <c r="I2" s="258"/>
      <c r="J2" s="258"/>
      <c r="K2" s="259"/>
      <c r="L2" s="263" t="s">
        <v>22</v>
      </c>
      <c r="M2" s="263"/>
    </row>
    <row r="3" spans="1:13" s="62" customFormat="1" ht="20.100000000000001" customHeight="1" x14ac:dyDescent="0.3">
      <c r="A3" s="252"/>
      <c r="B3" s="257"/>
      <c r="C3" s="258"/>
      <c r="D3" s="258"/>
      <c r="E3" s="258"/>
      <c r="F3" s="258"/>
      <c r="G3" s="258"/>
      <c r="H3" s="258"/>
      <c r="I3" s="258"/>
      <c r="J3" s="258"/>
      <c r="K3" s="259"/>
      <c r="L3" s="263" t="s">
        <v>23</v>
      </c>
      <c r="M3" s="263"/>
    </row>
    <row r="4" spans="1:13" s="62" customFormat="1" ht="20.100000000000001" customHeight="1" x14ac:dyDescent="0.3">
      <c r="A4" s="253"/>
      <c r="B4" s="260"/>
      <c r="C4" s="261"/>
      <c r="D4" s="261"/>
      <c r="E4" s="261"/>
      <c r="F4" s="261"/>
      <c r="G4" s="261"/>
      <c r="H4" s="261"/>
      <c r="I4" s="261"/>
      <c r="J4" s="261"/>
      <c r="K4" s="262"/>
      <c r="L4" s="263" t="s">
        <v>24</v>
      </c>
      <c r="M4" s="263"/>
    </row>
    <row r="5" spans="1:13" ht="20.100000000000001" customHeight="1" x14ac:dyDescent="0.3"/>
    <row r="6" spans="1:13" ht="25.2" x14ac:dyDescent="0.3">
      <c r="A6" s="272" t="s">
        <v>25</v>
      </c>
      <c r="B6" s="272"/>
      <c r="C6" s="272"/>
      <c r="D6" s="272"/>
      <c r="E6" s="272"/>
      <c r="F6" s="272"/>
      <c r="G6" s="272"/>
      <c r="H6" s="272"/>
      <c r="I6" s="272"/>
      <c r="J6" s="272"/>
      <c r="K6" s="272"/>
      <c r="L6" s="272"/>
      <c r="M6" s="272"/>
    </row>
    <row r="9" spans="1:13" ht="24.75" customHeight="1" x14ac:dyDescent="0.3">
      <c r="A9" s="273" t="s">
        <v>26</v>
      </c>
      <c r="B9" s="273"/>
      <c r="C9" s="63"/>
      <c r="D9" s="274" t="s">
        <v>27</v>
      </c>
      <c r="E9" s="274"/>
      <c r="F9" s="274"/>
      <c r="G9" s="274"/>
      <c r="H9" s="274"/>
      <c r="I9" s="274"/>
      <c r="J9" s="274"/>
      <c r="K9" s="274"/>
      <c r="L9" s="274"/>
      <c r="M9" s="274"/>
    </row>
    <row r="10" spans="1:13" ht="24.75" customHeight="1" x14ac:dyDescent="0.3">
      <c r="A10" s="273" t="s">
        <v>28</v>
      </c>
      <c r="B10" s="273"/>
      <c r="C10" s="275"/>
      <c r="D10" s="275"/>
      <c r="E10" s="274" t="s">
        <v>29</v>
      </c>
      <c r="F10" s="274"/>
      <c r="G10" s="274"/>
      <c r="H10" s="274"/>
      <c r="I10" s="274"/>
      <c r="J10" s="274"/>
      <c r="K10" s="274"/>
      <c r="L10" s="274"/>
      <c r="M10" s="274"/>
    </row>
    <row r="11" spans="1:13" ht="24.75" customHeight="1" x14ac:dyDescent="0.3">
      <c r="A11" s="273" t="s">
        <v>30</v>
      </c>
      <c r="B11" s="273"/>
      <c r="C11" s="273"/>
      <c r="D11" s="273"/>
      <c r="E11" s="275"/>
      <c r="F11" s="274" t="s">
        <v>31</v>
      </c>
      <c r="G11" s="274"/>
      <c r="H11" s="274"/>
      <c r="I11" s="274"/>
      <c r="J11" s="274"/>
      <c r="K11" s="274"/>
      <c r="L11" s="274"/>
      <c r="M11" s="274"/>
    </row>
    <row r="12" spans="1:13" ht="22.5" customHeight="1" x14ac:dyDescent="0.3"/>
    <row r="13" spans="1:13" ht="20.25" customHeight="1" x14ac:dyDescent="0.3"/>
    <row r="14" spans="1:13" ht="27.75" customHeight="1" x14ac:dyDescent="0.3">
      <c r="A14" s="264" t="s">
        <v>32</v>
      </c>
      <c r="B14" s="264"/>
      <c r="C14" s="64"/>
      <c r="D14" s="265" t="s">
        <v>33</v>
      </c>
      <c r="E14" s="265"/>
      <c r="F14" s="265"/>
      <c r="G14" s="265" t="s">
        <v>34</v>
      </c>
      <c r="H14" s="265"/>
      <c r="I14" s="265"/>
      <c r="J14" s="265"/>
      <c r="K14" s="265"/>
      <c r="L14" s="265"/>
      <c r="M14" s="265"/>
    </row>
    <row r="15" spans="1:13" ht="37.5" customHeight="1" x14ac:dyDescent="0.3">
      <c r="A15" s="264"/>
      <c r="B15" s="264"/>
      <c r="C15" s="64"/>
      <c r="D15" s="265"/>
      <c r="E15" s="265"/>
      <c r="F15" s="265"/>
      <c r="G15" s="65" t="s">
        <v>35</v>
      </c>
      <c r="H15" s="65"/>
      <c r="I15" s="265" t="s">
        <v>36</v>
      </c>
      <c r="J15" s="265"/>
      <c r="K15" s="265"/>
      <c r="L15" s="265"/>
      <c r="M15" s="265"/>
    </row>
    <row r="16" spans="1:13" ht="60" customHeight="1" x14ac:dyDescent="0.3">
      <c r="A16" s="266" t="s">
        <v>37</v>
      </c>
      <c r="B16" s="267"/>
      <c r="C16" s="67" t="s">
        <v>37</v>
      </c>
      <c r="D16" s="268" t="s">
        <v>38</v>
      </c>
      <c r="E16" s="269"/>
      <c r="F16" s="270"/>
      <c r="G16" s="68" t="s">
        <v>39</v>
      </c>
      <c r="H16" s="66" t="s">
        <v>39</v>
      </c>
      <c r="I16" s="268" t="s">
        <v>40</v>
      </c>
      <c r="J16" s="271"/>
      <c r="K16" s="271"/>
      <c r="L16" s="271"/>
      <c r="M16" s="267"/>
    </row>
    <row r="17" spans="1:13" ht="67.5" customHeight="1" x14ac:dyDescent="0.3">
      <c r="A17" s="266" t="s">
        <v>37</v>
      </c>
      <c r="B17" s="267"/>
      <c r="C17" s="67" t="s">
        <v>41</v>
      </c>
      <c r="D17" s="268" t="s">
        <v>38</v>
      </c>
      <c r="E17" s="269"/>
      <c r="F17" s="270"/>
      <c r="G17" s="68" t="s">
        <v>42</v>
      </c>
      <c r="H17" s="66" t="s">
        <v>42</v>
      </c>
      <c r="I17" s="268" t="s">
        <v>43</v>
      </c>
      <c r="J17" s="271"/>
      <c r="K17" s="271"/>
      <c r="L17" s="271"/>
      <c r="M17" s="267"/>
    </row>
    <row r="18" spans="1:13" ht="58.5" customHeight="1" x14ac:dyDescent="0.3">
      <c r="A18" s="266" t="s">
        <v>37</v>
      </c>
      <c r="B18" s="267"/>
      <c r="C18" s="67" t="s">
        <v>44</v>
      </c>
      <c r="D18" s="268" t="s">
        <v>45</v>
      </c>
      <c r="E18" s="269"/>
      <c r="F18" s="270"/>
      <c r="G18" s="68" t="s">
        <v>42</v>
      </c>
      <c r="H18" s="66"/>
      <c r="I18" s="268" t="s">
        <v>46</v>
      </c>
      <c r="J18" s="271"/>
      <c r="K18" s="271"/>
      <c r="L18" s="271"/>
      <c r="M18" s="267"/>
    </row>
    <row r="19" spans="1:13" ht="48.75" customHeight="1" x14ac:dyDescent="0.3">
      <c r="A19" s="266" t="s">
        <v>37</v>
      </c>
      <c r="B19" s="267"/>
      <c r="C19" s="67"/>
      <c r="D19" s="268" t="s">
        <v>47</v>
      </c>
      <c r="E19" s="269"/>
      <c r="F19" s="270"/>
      <c r="G19" s="68" t="s">
        <v>42</v>
      </c>
      <c r="H19" s="66"/>
      <c r="I19" s="268" t="s">
        <v>48</v>
      </c>
      <c r="J19" s="269"/>
      <c r="K19" s="269"/>
      <c r="L19" s="269"/>
      <c r="M19" s="270"/>
    </row>
    <row r="20" spans="1:13" ht="48.75" customHeight="1" x14ac:dyDescent="0.3">
      <c r="A20" s="266" t="s">
        <v>37</v>
      </c>
      <c r="B20" s="267"/>
      <c r="C20" s="67"/>
      <c r="D20" s="266" t="s">
        <v>49</v>
      </c>
      <c r="E20" s="271"/>
      <c r="F20" s="267"/>
      <c r="G20" s="68" t="s">
        <v>42</v>
      </c>
      <c r="H20" s="66"/>
      <c r="I20" s="268" t="s">
        <v>50</v>
      </c>
      <c r="J20" s="271"/>
      <c r="K20" s="271"/>
      <c r="L20" s="271"/>
      <c r="M20" s="267"/>
    </row>
    <row r="21" spans="1:13" ht="48.75" customHeight="1" x14ac:dyDescent="0.3">
      <c r="A21" s="266" t="s">
        <v>37</v>
      </c>
      <c r="B21" s="267"/>
      <c r="C21" s="67"/>
      <c r="D21" s="266" t="s">
        <v>49</v>
      </c>
      <c r="E21" s="271"/>
      <c r="F21" s="267"/>
      <c r="G21" s="68" t="s">
        <v>39</v>
      </c>
      <c r="H21" s="66"/>
      <c r="I21" s="268" t="s">
        <v>51</v>
      </c>
      <c r="J21" s="269"/>
      <c r="K21" s="269"/>
      <c r="L21" s="269"/>
      <c r="M21" s="270"/>
    </row>
    <row r="22" spans="1:13" ht="48.75" customHeight="1" x14ac:dyDescent="0.3">
      <c r="A22" s="266" t="s">
        <v>37</v>
      </c>
      <c r="B22" s="267"/>
      <c r="C22" s="67"/>
      <c r="D22" s="268" t="s">
        <v>52</v>
      </c>
      <c r="E22" s="269"/>
      <c r="F22" s="270"/>
      <c r="G22" s="68" t="s">
        <v>42</v>
      </c>
      <c r="H22" s="268" t="s">
        <v>53</v>
      </c>
      <c r="I22" s="269"/>
      <c r="J22" s="269"/>
      <c r="K22" s="269"/>
      <c r="L22" s="269"/>
      <c r="M22" s="270"/>
    </row>
    <row r="23" spans="1:13" ht="48.75" customHeight="1" x14ac:dyDescent="0.3">
      <c r="A23" s="266" t="s">
        <v>41</v>
      </c>
      <c r="B23" s="267"/>
      <c r="C23" s="67"/>
      <c r="D23" s="268" t="s">
        <v>54</v>
      </c>
      <c r="E23" s="269"/>
      <c r="F23" s="270"/>
      <c r="G23" s="68" t="s">
        <v>42</v>
      </c>
      <c r="H23" s="66"/>
      <c r="I23" s="268" t="s">
        <v>55</v>
      </c>
      <c r="J23" s="271"/>
      <c r="K23" s="271"/>
      <c r="L23" s="271"/>
      <c r="M23" s="267"/>
    </row>
    <row r="24" spans="1:13" ht="48.75" customHeight="1" x14ac:dyDescent="0.3">
      <c r="A24" s="266" t="s">
        <v>37</v>
      </c>
      <c r="B24" s="267"/>
      <c r="C24" s="69"/>
      <c r="D24" s="268" t="s">
        <v>56</v>
      </c>
      <c r="E24" s="269"/>
      <c r="F24" s="270"/>
      <c r="G24" s="68" t="s">
        <v>42</v>
      </c>
      <c r="H24" s="70"/>
      <c r="I24" s="268" t="s">
        <v>57</v>
      </c>
      <c r="J24" s="271"/>
      <c r="K24" s="271"/>
      <c r="L24" s="271"/>
      <c r="M24" s="267"/>
    </row>
    <row r="25" spans="1:13" ht="48.75" customHeight="1" x14ac:dyDescent="0.3">
      <c r="A25" s="266" t="s">
        <v>37</v>
      </c>
      <c r="B25" s="267"/>
      <c r="C25" s="67"/>
      <c r="D25" s="268" t="s">
        <v>58</v>
      </c>
      <c r="E25" s="269"/>
      <c r="F25" s="270"/>
      <c r="G25" s="68" t="s">
        <v>42</v>
      </c>
      <c r="H25" s="66"/>
      <c r="I25" s="268" t="s">
        <v>59</v>
      </c>
      <c r="J25" s="271"/>
      <c r="K25" s="271"/>
      <c r="L25" s="271"/>
      <c r="M25" s="267"/>
    </row>
    <row r="26" spans="1:13" ht="48.75" customHeight="1" x14ac:dyDescent="0.3">
      <c r="A26" s="266" t="s">
        <v>37</v>
      </c>
      <c r="B26" s="267"/>
      <c r="C26" s="67"/>
      <c r="D26" s="266" t="s">
        <v>60</v>
      </c>
      <c r="E26" s="271"/>
      <c r="F26" s="267"/>
      <c r="G26" s="68" t="s">
        <v>39</v>
      </c>
      <c r="H26" s="66"/>
      <c r="I26" s="268" t="s">
        <v>61</v>
      </c>
      <c r="J26" s="269"/>
      <c r="K26" s="269"/>
      <c r="L26" s="269"/>
      <c r="M26" s="270"/>
    </row>
    <row r="27" spans="1:13" ht="48.75" customHeight="1" x14ac:dyDescent="0.3">
      <c r="A27" s="266" t="s">
        <v>41</v>
      </c>
      <c r="B27" s="267"/>
      <c r="C27" s="67"/>
      <c r="D27" s="266" t="s">
        <v>62</v>
      </c>
      <c r="E27" s="271"/>
      <c r="F27" s="267"/>
      <c r="G27" s="68" t="s">
        <v>39</v>
      </c>
      <c r="H27" s="66"/>
      <c r="I27" s="266" t="s">
        <v>63</v>
      </c>
      <c r="J27" s="271"/>
      <c r="K27" s="271"/>
      <c r="L27" s="271"/>
      <c r="M27" s="267"/>
    </row>
    <row r="28" spans="1:13" ht="48.75" customHeight="1" x14ac:dyDescent="0.3">
      <c r="A28" s="266" t="s">
        <v>37</v>
      </c>
      <c r="B28" s="267"/>
      <c r="C28" s="67"/>
      <c r="D28" s="266" t="s">
        <v>64</v>
      </c>
      <c r="E28" s="271"/>
      <c r="F28" s="267"/>
      <c r="G28" s="68" t="s">
        <v>39</v>
      </c>
      <c r="H28" s="66"/>
      <c r="I28" s="268" t="s">
        <v>65</v>
      </c>
      <c r="J28" s="271"/>
      <c r="K28" s="271"/>
      <c r="L28" s="271"/>
      <c r="M28" s="267"/>
    </row>
    <row r="29" spans="1:13" ht="48.75" customHeight="1" x14ac:dyDescent="0.3">
      <c r="A29" s="266" t="s">
        <v>41</v>
      </c>
      <c r="B29" s="267"/>
      <c r="C29" s="67"/>
      <c r="D29" s="266" t="s">
        <v>66</v>
      </c>
      <c r="E29" s="271"/>
      <c r="F29" s="267"/>
      <c r="G29" s="68" t="s">
        <v>42</v>
      </c>
      <c r="H29" s="66"/>
      <c r="I29" s="266" t="s">
        <v>67</v>
      </c>
      <c r="J29" s="271"/>
      <c r="K29" s="271"/>
      <c r="L29" s="271"/>
      <c r="M29" s="267"/>
    </row>
    <row r="30" spans="1:13" ht="48.75" customHeight="1" x14ac:dyDescent="0.3">
      <c r="A30" s="266" t="s">
        <v>41</v>
      </c>
      <c r="B30" s="267"/>
      <c r="C30" s="67"/>
      <c r="D30" s="266" t="s">
        <v>66</v>
      </c>
      <c r="E30" s="271"/>
      <c r="F30" s="267"/>
      <c r="G30" s="68" t="s">
        <v>39</v>
      </c>
      <c r="H30" s="66"/>
      <c r="I30" s="266" t="s">
        <v>68</v>
      </c>
      <c r="J30" s="271"/>
      <c r="K30" s="271"/>
      <c r="L30" s="271"/>
      <c r="M30" s="267"/>
    </row>
    <row r="31" spans="1:13" ht="48.75" customHeight="1" x14ac:dyDescent="0.3">
      <c r="A31" s="266" t="s">
        <v>37</v>
      </c>
      <c r="B31" s="267"/>
      <c r="C31" s="67"/>
      <c r="D31" s="266" t="s">
        <v>69</v>
      </c>
      <c r="E31" s="271"/>
      <c r="F31" s="267"/>
      <c r="G31" s="68" t="s">
        <v>42</v>
      </c>
      <c r="H31" s="66"/>
      <c r="I31" s="268" t="s">
        <v>70</v>
      </c>
      <c r="J31" s="271"/>
      <c r="K31" s="271"/>
      <c r="L31" s="271"/>
      <c r="M31" s="267"/>
    </row>
    <row r="32" spans="1:13" ht="48.75" customHeight="1" x14ac:dyDescent="0.3">
      <c r="A32" s="266" t="s">
        <v>37</v>
      </c>
      <c r="B32" s="267"/>
      <c r="C32" s="67"/>
      <c r="D32" s="266" t="s">
        <v>71</v>
      </c>
      <c r="E32" s="271"/>
      <c r="F32" s="267"/>
      <c r="G32" s="68" t="s">
        <v>42</v>
      </c>
      <c r="H32" s="66"/>
      <c r="I32" s="266" t="s">
        <v>72</v>
      </c>
      <c r="J32" s="271"/>
      <c r="K32" s="271"/>
      <c r="L32" s="271"/>
      <c r="M32" s="267"/>
    </row>
    <row r="33" spans="1:13" ht="48.75" customHeight="1" x14ac:dyDescent="0.3">
      <c r="A33" s="266" t="s">
        <v>37</v>
      </c>
      <c r="B33" s="267"/>
      <c r="C33" s="67"/>
      <c r="D33" s="268" t="s">
        <v>73</v>
      </c>
      <c r="E33" s="269"/>
      <c r="F33" s="270"/>
      <c r="G33" s="68" t="s">
        <v>42</v>
      </c>
      <c r="H33" s="66"/>
      <c r="I33" s="268" t="s">
        <v>74</v>
      </c>
      <c r="J33" s="269"/>
      <c r="K33" s="269"/>
      <c r="L33" s="269"/>
      <c r="M33" s="270"/>
    </row>
    <row r="34" spans="1:13" ht="48.75" customHeight="1" x14ac:dyDescent="0.3">
      <c r="A34" s="266" t="s">
        <v>41</v>
      </c>
      <c r="B34" s="267"/>
      <c r="C34" s="67"/>
      <c r="D34" s="266" t="s">
        <v>75</v>
      </c>
      <c r="E34" s="271"/>
      <c r="F34" s="267"/>
      <c r="G34" s="68" t="s">
        <v>39</v>
      </c>
      <c r="H34" s="66"/>
      <c r="I34" s="268" t="s">
        <v>76</v>
      </c>
      <c r="J34" s="271"/>
      <c r="K34" s="271"/>
      <c r="L34" s="271"/>
      <c r="M34" s="267"/>
    </row>
    <row r="35" spans="1:13" ht="48.75" customHeight="1" x14ac:dyDescent="0.3">
      <c r="A35" s="266" t="s">
        <v>41</v>
      </c>
      <c r="B35" s="267"/>
      <c r="C35" s="67"/>
      <c r="D35" s="266" t="s">
        <v>77</v>
      </c>
      <c r="E35" s="271"/>
      <c r="F35" s="267"/>
      <c r="G35" s="68" t="s">
        <v>39</v>
      </c>
      <c r="H35" s="66"/>
      <c r="I35" s="268" t="s">
        <v>78</v>
      </c>
      <c r="J35" s="269"/>
      <c r="K35" s="269"/>
      <c r="L35" s="269"/>
      <c r="M35" s="270"/>
    </row>
    <row r="36" spans="1:13" ht="48.75" customHeight="1" x14ac:dyDescent="0.3">
      <c r="A36" s="266" t="s">
        <v>41</v>
      </c>
      <c r="B36" s="267"/>
      <c r="C36" s="69"/>
      <c r="D36" s="266" t="s">
        <v>79</v>
      </c>
      <c r="E36" s="271"/>
      <c r="F36" s="267"/>
      <c r="G36" s="68" t="s">
        <v>42</v>
      </c>
      <c r="H36" s="70"/>
      <c r="I36" s="268" t="s">
        <v>80</v>
      </c>
      <c r="J36" s="271"/>
      <c r="K36" s="271"/>
      <c r="L36" s="271"/>
      <c r="M36" s="267"/>
    </row>
    <row r="37" spans="1:13" ht="48.75" customHeight="1" x14ac:dyDescent="0.3">
      <c r="A37" s="266" t="s">
        <v>37</v>
      </c>
      <c r="B37" s="267"/>
      <c r="D37" s="268" t="s">
        <v>81</v>
      </c>
      <c r="E37" s="269"/>
      <c r="F37" s="270"/>
      <c r="G37" s="68" t="s">
        <v>42</v>
      </c>
      <c r="I37" s="268" t="s">
        <v>82</v>
      </c>
      <c r="J37" s="271"/>
      <c r="K37" s="271"/>
      <c r="L37" s="271"/>
      <c r="M37" s="267"/>
    </row>
    <row r="38" spans="1:13" ht="48.75" customHeight="1" x14ac:dyDescent="0.3">
      <c r="A38" s="266" t="s">
        <v>37</v>
      </c>
      <c r="B38" s="267"/>
      <c r="D38" s="268" t="s">
        <v>83</v>
      </c>
      <c r="E38" s="269"/>
      <c r="F38" s="270"/>
      <c r="G38" s="68" t="s">
        <v>42</v>
      </c>
      <c r="I38" s="268" t="s">
        <v>84</v>
      </c>
      <c r="J38" s="269"/>
      <c r="K38" s="269"/>
      <c r="L38" s="269"/>
      <c r="M38" s="270"/>
    </row>
    <row r="39" spans="1:13" ht="48.75" customHeight="1" x14ac:dyDescent="0.3">
      <c r="A39" s="266" t="s">
        <v>37</v>
      </c>
      <c r="B39" s="267"/>
      <c r="D39" s="266" t="s">
        <v>85</v>
      </c>
      <c r="E39" s="271"/>
      <c r="F39" s="267"/>
      <c r="G39" s="68" t="s">
        <v>42</v>
      </c>
      <c r="I39" s="268" t="s">
        <v>86</v>
      </c>
      <c r="J39" s="269"/>
      <c r="K39" s="269"/>
      <c r="L39" s="269"/>
      <c r="M39" s="270"/>
    </row>
    <row r="40" spans="1:13" ht="48.75" customHeight="1" x14ac:dyDescent="0.3">
      <c r="A40" s="266" t="s">
        <v>41</v>
      </c>
      <c r="B40" s="267"/>
      <c r="C40" s="71"/>
      <c r="D40" s="266" t="s">
        <v>87</v>
      </c>
      <c r="E40" s="271"/>
      <c r="F40" s="267"/>
      <c r="G40" s="68" t="s">
        <v>42</v>
      </c>
      <c r="H40" s="71"/>
      <c r="I40" s="268" t="s">
        <v>88</v>
      </c>
      <c r="J40" s="269"/>
      <c r="K40" s="269"/>
      <c r="L40" s="269"/>
      <c r="M40" s="270"/>
    </row>
    <row r="41" spans="1:13" ht="48.75" customHeight="1" x14ac:dyDescent="0.3">
      <c r="A41" s="266" t="s">
        <v>37</v>
      </c>
      <c r="B41" s="267"/>
      <c r="D41" s="266" t="s">
        <v>89</v>
      </c>
      <c r="E41" s="271"/>
      <c r="F41" s="267"/>
      <c r="G41" s="68" t="s">
        <v>42</v>
      </c>
      <c r="I41" s="268" t="s">
        <v>90</v>
      </c>
      <c r="J41" s="271"/>
      <c r="K41" s="271"/>
      <c r="L41" s="271"/>
      <c r="M41" s="267"/>
    </row>
    <row r="42" spans="1:13" ht="48.75" customHeight="1" x14ac:dyDescent="0.3">
      <c r="A42" s="266" t="s">
        <v>41</v>
      </c>
      <c r="B42" s="267"/>
      <c r="D42" s="268" t="s">
        <v>91</v>
      </c>
      <c r="E42" s="269"/>
      <c r="F42" s="270"/>
      <c r="G42" s="68" t="s">
        <v>42</v>
      </c>
      <c r="I42" s="268" t="s">
        <v>92</v>
      </c>
      <c r="J42" s="269"/>
      <c r="K42" s="269"/>
      <c r="L42" s="269"/>
      <c r="M42" s="270"/>
    </row>
    <row r="43" spans="1:13" ht="48.75" customHeight="1" x14ac:dyDescent="0.3">
      <c r="A43" s="274" t="s">
        <v>37</v>
      </c>
      <c r="B43" s="274"/>
      <c r="D43" s="274" t="s">
        <v>93</v>
      </c>
      <c r="E43" s="274"/>
      <c r="F43" s="274"/>
      <c r="G43" s="68" t="s">
        <v>42</v>
      </c>
      <c r="I43" s="276" t="s">
        <v>94</v>
      </c>
      <c r="J43" s="277"/>
      <c r="K43" s="277"/>
      <c r="L43" s="277"/>
      <c r="M43" s="278"/>
    </row>
    <row r="44" spans="1:13" ht="24.9" customHeight="1" x14ac:dyDescent="0.3"/>
  </sheetData>
  <mergeCells count="101">
    <mergeCell ref="A43:B43"/>
    <mergeCell ref="D43:F43"/>
    <mergeCell ref="I43:M43"/>
    <mergeCell ref="A41:B41"/>
    <mergeCell ref="D41:F41"/>
    <mergeCell ref="I41:M41"/>
    <mergeCell ref="A42:B42"/>
    <mergeCell ref="D42:F42"/>
    <mergeCell ref="I42:M42"/>
    <mergeCell ref="A39:B39"/>
    <mergeCell ref="D39:F39"/>
    <mergeCell ref="I39:M39"/>
    <mergeCell ref="A40:B40"/>
    <mergeCell ref="D40:F40"/>
    <mergeCell ref="I40:M40"/>
    <mergeCell ref="A37:B37"/>
    <mergeCell ref="D37:F37"/>
    <mergeCell ref="I37:M37"/>
    <mergeCell ref="A38:B38"/>
    <mergeCell ref="D38:F38"/>
    <mergeCell ref="I38:M38"/>
    <mergeCell ref="A35:B35"/>
    <mergeCell ref="D35:F35"/>
    <mergeCell ref="I35:M35"/>
    <mergeCell ref="A36:B36"/>
    <mergeCell ref="D36:F36"/>
    <mergeCell ref="I36:M36"/>
    <mergeCell ref="A33:B33"/>
    <mergeCell ref="D33:F33"/>
    <mergeCell ref="I33:M33"/>
    <mergeCell ref="A34:B34"/>
    <mergeCell ref="D34:F34"/>
    <mergeCell ref="I34:M34"/>
    <mergeCell ref="A31:B31"/>
    <mergeCell ref="D31:F31"/>
    <mergeCell ref="I31:M31"/>
    <mergeCell ref="A32:B32"/>
    <mergeCell ref="D32:F32"/>
    <mergeCell ref="I32:M32"/>
    <mergeCell ref="A29:B29"/>
    <mergeCell ref="D29:F29"/>
    <mergeCell ref="I29:M29"/>
    <mergeCell ref="A30:B30"/>
    <mergeCell ref="D30:F30"/>
    <mergeCell ref="I30:M30"/>
    <mergeCell ref="A27:B27"/>
    <mergeCell ref="D27:F27"/>
    <mergeCell ref="I27:M27"/>
    <mergeCell ref="A28:B28"/>
    <mergeCell ref="D28:F28"/>
    <mergeCell ref="I28:M28"/>
    <mergeCell ref="A25:B25"/>
    <mergeCell ref="D25:F25"/>
    <mergeCell ref="I25:M25"/>
    <mergeCell ref="A26:B26"/>
    <mergeCell ref="D26:F26"/>
    <mergeCell ref="I26:M26"/>
    <mergeCell ref="A23:B23"/>
    <mergeCell ref="D23:F23"/>
    <mergeCell ref="I23:M23"/>
    <mergeCell ref="A24:B24"/>
    <mergeCell ref="D24:F24"/>
    <mergeCell ref="I24:M24"/>
    <mergeCell ref="A21:B21"/>
    <mergeCell ref="D21:F21"/>
    <mergeCell ref="I21:M21"/>
    <mergeCell ref="A22:B22"/>
    <mergeCell ref="D22:F22"/>
    <mergeCell ref="H22:M22"/>
    <mergeCell ref="A19:B19"/>
    <mergeCell ref="D19:F19"/>
    <mergeCell ref="I19:M19"/>
    <mergeCell ref="A20:B20"/>
    <mergeCell ref="D20:F20"/>
    <mergeCell ref="I20:M20"/>
    <mergeCell ref="A17:B17"/>
    <mergeCell ref="D17:F17"/>
    <mergeCell ref="I17:M17"/>
    <mergeCell ref="A18:B18"/>
    <mergeCell ref="D18:F18"/>
    <mergeCell ref="I18:M18"/>
    <mergeCell ref="A16:B16"/>
    <mergeCell ref="D16:F16"/>
    <mergeCell ref="I16:M16"/>
    <mergeCell ref="A6:M6"/>
    <mergeCell ref="A9:B9"/>
    <mergeCell ref="D9:M9"/>
    <mergeCell ref="A10:D10"/>
    <mergeCell ref="E10:M10"/>
    <mergeCell ref="A11:E11"/>
    <mergeCell ref="F11:M11"/>
    <mergeCell ref="A1:A4"/>
    <mergeCell ref="B1:K4"/>
    <mergeCell ref="L1:M1"/>
    <mergeCell ref="L2:M2"/>
    <mergeCell ref="L3:M3"/>
    <mergeCell ref="L4:M4"/>
    <mergeCell ref="A14:B15"/>
    <mergeCell ref="D14:F15"/>
    <mergeCell ref="G14:M14"/>
    <mergeCell ref="I15:M15"/>
  </mergeCells>
  <dataValidations count="2">
    <dataValidation type="list" allowBlank="1" showInputMessage="1" showErrorMessage="1" sqref="G16:G36" xr:uid="{C1F0D577-908C-44C9-B601-4771BF10B427}">
      <formula1>$H$16:$H$17</formula1>
    </dataValidation>
    <dataValidation type="list" allowBlank="1" showInputMessage="1" showErrorMessage="1" sqref="A16:B43" xr:uid="{82ED23B6-2161-49B8-9CA8-308A2C3945FA}">
      <formula1>$C$16:$C$18</formula1>
    </dataValidation>
  </dataValidations>
  <pageMargins left="0.7" right="0.7" top="0.75" bottom="0.75" header="0.3" footer="0.3"/>
  <pageSetup orientation="portrait" verticalDpi="300"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E6892C1-F893-4D0F-A32D-0DAEE4477F0A}">
          <x14:formula1>
            <xm:f>'Opciones Tratamiento'!$B$25:$B$37</xm:f>
          </x14:formula1>
          <xm:sqref>D9:M9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E142B-3689-4B2A-AD25-7059CC2148D5}">
  <sheetPr>
    <tabColor rgb="FF002060"/>
  </sheetPr>
  <dimension ref="A1:BG98"/>
  <sheetViews>
    <sheetView showGridLines="0" tabSelected="1" zoomScaleNormal="100" workbookViewId="0">
      <selection activeCell="AM77" sqref="AM77"/>
    </sheetView>
  </sheetViews>
  <sheetFormatPr baseColWidth="10" defaultColWidth="11.44140625" defaultRowHeight="13.8" x14ac:dyDescent="0.25"/>
  <cols>
    <col min="1" max="1" width="4" style="94" bestFit="1" customWidth="1"/>
    <col min="2" max="2" width="32.44140625" style="94" customWidth="1"/>
    <col min="3" max="3" width="29.44140625" style="94" customWidth="1"/>
    <col min="4" max="4" width="31.6640625" style="94" customWidth="1"/>
    <col min="5" max="5" width="32.6640625" style="94" customWidth="1"/>
    <col min="6" max="6" width="30.88671875" style="94" customWidth="1"/>
    <col min="7" max="7" width="38" style="73" customWidth="1"/>
    <col min="8" max="8" width="63" style="73" customWidth="1"/>
    <col min="9" max="9" width="18" style="95" customWidth="1"/>
    <col min="10" max="10" width="10.5546875" style="73" customWidth="1"/>
    <col min="11" max="11" width="9.109375" style="73" customWidth="1"/>
    <col min="12" max="12" width="10.5546875" style="73" customWidth="1"/>
    <col min="13" max="13" width="9.44140625" style="73" customWidth="1"/>
    <col min="14" max="14" width="10.5546875" style="73" customWidth="1"/>
    <col min="15" max="15" width="5.88671875" style="73" customWidth="1"/>
    <col min="16" max="16" width="101" style="73" customWidth="1"/>
    <col min="17" max="17" width="15.109375" style="73" customWidth="1"/>
    <col min="18" max="18" width="6.88671875" style="73" customWidth="1"/>
    <col min="19" max="19" width="5" style="73" customWidth="1"/>
    <col min="20" max="20" width="5.5546875" style="73" customWidth="1"/>
    <col min="21" max="21" width="7.109375" style="73" customWidth="1"/>
    <col min="22" max="22" width="6.6640625" style="73" customWidth="1"/>
    <col min="23" max="23" width="7.5546875" style="73" customWidth="1"/>
    <col min="24" max="24" width="48.33203125" style="73" customWidth="1"/>
    <col min="25" max="25" width="11.33203125" style="73" customWidth="1"/>
    <col min="26" max="26" width="8.6640625" style="73" customWidth="1"/>
    <col min="27" max="27" width="10.44140625" style="73" customWidth="1"/>
    <col min="28" max="28" width="9.33203125" style="73" customWidth="1"/>
    <col min="29" max="29" width="9.109375" style="73" customWidth="1"/>
    <col min="30" max="33" width="10.33203125" style="73" customWidth="1"/>
    <col min="34" max="34" width="11.6640625" style="73" customWidth="1"/>
    <col min="35" max="35" width="12.5546875" style="73" customWidth="1"/>
    <col min="36" max="36" width="70.5546875" style="73" customWidth="1"/>
    <col min="37" max="37" width="91.109375" style="73" customWidth="1"/>
    <col min="38" max="38" width="78.6640625" style="73" customWidth="1"/>
    <col min="39" max="40" width="127.5546875" style="73" customWidth="1"/>
    <col min="41" max="41" width="127.5546875" style="73" hidden="1" customWidth="1"/>
    <col min="42" max="42" width="146.109375" style="73" hidden="1" customWidth="1"/>
    <col min="43" max="43" width="109.109375" style="73" hidden="1" customWidth="1"/>
    <col min="44" max="44" width="146.109375" style="73" hidden="1" customWidth="1"/>
    <col min="45" max="16384" width="11.44140625" style="73"/>
  </cols>
  <sheetData>
    <row r="1" spans="1:59" ht="16.5" customHeight="1" x14ac:dyDescent="0.25">
      <c r="A1" s="374"/>
      <c r="B1" s="374"/>
      <c r="C1" s="374"/>
      <c r="D1" s="375" t="s">
        <v>20</v>
      </c>
      <c r="E1" s="376"/>
      <c r="F1" s="376"/>
      <c r="G1" s="376"/>
      <c r="H1" s="376"/>
      <c r="I1" s="376"/>
      <c r="J1" s="376"/>
      <c r="K1" s="376"/>
      <c r="L1" s="376"/>
      <c r="M1" s="376"/>
      <c r="N1" s="376"/>
      <c r="O1" s="376"/>
      <c r="P1" s="376"/>
      <c r="Q1" s="376"/>
      <c r="R1" s="376"/>
      <c r="S1" s="376"/>
      <c r="T1" s="376"/>
      <c r="U1" s="376"/>
      <c r="V1" s="376"/>
      <c r="W1" s="376"/>
      <c r="X1" s="376"/>
      <c r="Y1" s="376"/>
      <c r="Z1" s="376"/>
      <c r="AA1" s="376"/>
      <c r="AB1" s="376"/>
      <c r="AC1" s="376"/>
      <c r="AD1" s="376"/>
      <c r="AE1" s="376"/>
      <c r="AF1" s="377"/>
      <c r="AG1" s="413" t="s">
        <v>95</v>
      </c>
      <c r="AH1" s="414"/>
      <c r="AI1" s="415"/>
      <c r="AJ1" s="72"/>
      <c r="AK1" s="72"/>
      <c r="AL1" s="72"/>
      <c r="AM1" s="72"/>
      <c r="AN1" s="72"/>
      <c r="AO1" s="72"/>
      <c r="AP1" s="72"/>
      <c r="AQ1" s="72"/>
      <c r="AR1" s="72"/>
      <c r="AS1" s="72"/>
      <c r="AT1" s="72"/>
      <c r="AU1" s="72"/>
      <c r="AV1" s="72"/>
      <c r="AW1" s="72"/>
      <c r="AX1" s="72"/>
      <c r="AY1" s="72"/>
      <c r="AZ1" s="72"/>
      <c r="BA1" s="72"/>
      <c r="BB1" s="72"/>
      <c r="BC1" s="72"/>
      <c r="BD1" s="72"/>
      <c r="BE1" s="72"/>
      <c r="BF1" s="72"/>
      <c r="BG1" s="72"/>
    </row>
    <row r="2" spans="1:59" ht="16.5" customHeight="1" x14ac:dyDescent="0.25">
      <c r="A2" s="374"/>
      <c r="B2" s="374"/>
      <c r="C2" s="374"/>
      <c r="D2" s="378"/>
      <c r="E2" s="379"/>
      <c r="F2" s="379"/>
      <c r="G2" s="379"/>
      <c r="H2" s="379"/>
      <c r="I2" s="379"/>
      <c r="J2" s="379"/>
      <c r="K2" s="379"/>
      <c r="L2" s="379"/>
      <c r="M2" s="379"/>
      <c r="N2" s="379"/>
      <c r="O2" s="379"/>
      <c r="P2" s="379"/>
      <c r="Q2" s="379"/>
      <c r="R2" s="379"/>
      <c r="S2" s="379"/>
      <c r="T2" s="379"/>
      <c r="U2" s="379"/>
      <c r="V2" s="379"/>
      <c r="W2" s="379"/>
      <c r="X2" s="379"/>
      <c r="Y2" s="379"/>
      <c r="Z2" s="379"/>
      <c r="AA2" s="379"/>
      <c r="AB2" s="379"/>
      <c r="AC2" s="379"/>
      <c r="AD2" s="379"/>
      <c r="AE2" s="379"/>
      <c r="AF2" s="380"/>
      <c r="AG2" s="413" t="s">
        <v>96</v>
      </c>
      <c r="AH2" s="414"/>
      <c r="AI2" s="415"/>
      <c r="AJ2" s="72"/>
      <c r="AK2" s="72"/>
      <c r="AL2" s="72"/>
      <c r="AM2" s="72"/>
      <c r="AN2" s="72"/>
      <c r="AO2" s="72"/>
      <c r="AP2" s="72"/>
      <c r="AQ2" s="72"/>
      <c r="AR2" s="72"/>
      <c r="AS2" s="72"/>
      <c r="AT2" s="72"/>
      <c r="AU2" s="72"/>
      <c r="AV2" s="72"/>
      <c r="AW2" s="72"/>
      <c r="AX2" s="72"/>
      <c r="AY2" s="72"/>
      <c r="AZ2" s="72"/>
      <c r="BA2" s="72"/>
      <c r="BB2" s="72"/>
      <c r="BC2" s="72"/>
      <c r="BD2" s="72"/>
      <c r="BE2" s="72"/>
      <c r="BF2" s="72"/>
      <c r="BG2" s="72"/>
    </row>
    <row r="3" spans="1:59" ht="16.5" customHeight="1" x14ac:dyDescent="0.25">
      <c r="A3" s="374"/>
      <c r="B3" s="374"/>
      <c r="C3" s="374"/>
      <c r="D3" s="378"/>
      <c r="E3" s="379"/>
      <c r="F3" s="379"/>
      <c r="G3" s="379"/>
      <c r="H3" s="379"/>
      <c r="I3" s="379"/>
      <c r="J3" s="379"/>
      <c r="K3" s="379"/>
      <c r="L3" s="379"/>
      <c r="M3" s="379"/>
      <c r="N3" s="379"/>
      <c r="O3" s="379"/>
      <c r="P3" s="379"/>
      <c r="Q3" s="379"/>
      <c r="R3" s="379"/>
      <c r="S3" s="379"/>
      <c r="T3" s="379"/>
      <c r="U3" s="379"/>
      <c r="V3" s="379"/>
      <c r="W3" s="379"/>
      <c r="X3" s="379"/>
      <c r="Y3" s="379"/>
      <c r="Z3" s="379"/>
      <c r="AA3" s="379"/>
      <c r="AB3" s="379"/>
      <c r="AC3" s="379"/>
      <c r="AD3" s="379"/>
      <c r="AE3" s="379"/>
      <c r="AF3" s="380"/>
      <c r="AG3" s="413" t="s">
        <v>97</v>
      </c>
      <c r="AH3" s="414"/>
      <c r="AI3" s="415"/>
      <c r="AJ3" s="72"/>
      <c r="AK3" s="72"/>
      <c r="AL3" s="72"/>
      <c r="AM3" s="72"/>
      <c r="AN3" s="72"/>
      <c r="AO3" s="72"/>
      <c r="AP3" s="72"/>
      <c r="AQ3" s="72"/>
      <c r="AR3" s="72"/>
      <c r="AS3" s="72"/>
      <c r="AT3" s="72"/>
      <c r="AU3" s="72"/>
      <c r="AV3" s="72"/>
      <c r="AW3" s="72"/>
      <c r="AX3" s="72"/>
      <c r="AY3" s="72"/>
      <c r="AZ3" s="72"/>
      <c r="BA3" s="72"/>
      <c r="BB3" s="72"/>
      <c r="BC3" s="72"/>
      <c r="BD3" s="72"/>
      <c r="BE3" s="72"/>
      <c r="BF3" s="72"/>
      <c r="BG3" s="72"/>
    </row>
    <row r="4" spans="1:59" ht="16.5" customHeight="1" x14ac:dyDescent="0.25">
      <c r="A4" s="374"/>
      <c r="B4" s="374"/>
      <c r="C4" s="374"/>
      <c r="D4" s="381"/>
      <c r="E4" s="382"/>
      <c r="F4" s="382"/>
      <c r="G4" s="382"/>
      <c r="H4" s="382"/>
      <c r="I4" s="382"/>
      <c r="J4" s="382"/>
      <c r="K4" s="382"/>
      <c r="L4" s="382"/>
      <c r="M4" s="382"/>
      <c r="N4" s="382"/>
      <c r="O4" s="382"/>
      <c r="P4" s="382"/>
      <c r="Q4" s="382"/>
      <c r="R4" s="382"/>
      <c r="S4" s="382"/>
      <c r="T4" s="382"/>
      <c r="U4" s="382"/>
      <c r="V4" s="382"/>
      <c r="W4" s="382"/>
      <c r="X4" s="382"/>
      <c r="Y4" s="382"/>
      <c r="Z4" s="382"/>
      <c r="AA4" s="382"/>
      <c r="AB4" s="382"/>
      <c r="AC4" s="382"/>
      <c r="AD4" s="382"/>
      <c r="AE4" s="382"/>
      <c r="AF4" s="383"/>
      <c r="AG4" s="413" t="s">
        <v>98</v>
      </c>
      <c r="AH4" s="414"/>
      <c r="AI4" s="415"/>
      <c r="AJ4" s="72"/>
      <c r="AK4" s="72"/>
      <c r="AL4" s="72"/>
      <c r="AM4" s="72"/>
      <c r="AN4" s="72"/>
      <c r="AO4" s="72"/>
      <c r="AP4" s="72"/>
      <c r="AQ4" s="72"/>
      <c r="AR4" s="72"/>
      <c r="AS4" s="72"/>
      <c r="AT4" s="72"/>
      <c r="AU4" s="72"/>
      <c r="AV4" s="72"/>
      <c r="AW4" s="72"/>
      <c r="AX4" s="72"/>
      <c r="AY4" s="72"/>
      <c r="AZ4" s="72"/>
      <c r="BA4" s="72"/>
      <c r="BB4" s="72"/>
      <c r="BC4" s="72"/>
      <c r="BD4" s="72"/>
      <c r="BE4" s="72"/>
      <c r="BF4" s="72"/>
      <c r="BG4" s="72"/>
    </row>
    <row r="5" spans="1:59" x14ac:dyDescent="0.25">
      <c r="A5" s="74"/>
      <c r="B5" s="74"/>
      <c r="C5" s="74"/>
      <c r="D5" s="75"/>
      <c r="E5" s="74"/>
      <c r="F5" s="74"/>
      <c r="G5" s="72"/>
      <c r="H5" s="72"/>
      <c r="I5" s="76"/>
      <c r="J5" s="72"/>
      <c r="K5" s="72"/>
      <c r="L5" s="72"/>
      <c r="M5" s="72"/>
      <c r="N5" s="72"/>
      <c r="O5" s="72"/>
      <c r="P5" s="72"/>
      <c r="Q5" s="72"/>
      <c r="R5" s="72"/>
      <c r="S5" s="72"/>
      <c r="T5" s="72"/>
      <c r="U5" s="72"/>
      <c r="V5" s="72"/>
      <c r="W5" s="72"/>
      <c r="X5" s="72"/>
      <c r="Y5" s="72"/>
      <c r="Z5" s="72"/>
      <c r="AA5" s="72"/>
      <c r="AB5" s="72"/>
      <c r="AC5" s="72"/>
      <c r="AD5" s="72"/>
      <c r="AE5" s="72"/>
      <c r="AF5" s="72"/>
      <c r="AG5" s="72"/>
      <c r="AH5" s="72"/>
      <c r="AI5" s="72"/>
      <c r="AJ5" s="72"/>
      <c r="AK5" s="72"/>
      <c r="AL5" s="72"/>
      <c r="AM5" s="72"/>
      <c r="AN5" s="72"/>
      <c r="AO5" s="72"/>
      <c r="AP5" s="72"/>
      <c r="AQ5" s="72"/>
      <c r="AR5" s="72"/>
      <c r="AS5" s="72"/>
      <c r="AT5" s="72"/>
      <c r="AU5" s="72"/>
      <c r="AV5" s="72"/>
      <c r="AW5" s="72"/>
      <c r="AX5" s="72"/>
      <c r="AY5" s="72"/>
      <c r="AZ5" s="72"/>
      <c r="BA5" s="72"/>
      <c r="BB5" s="72"/>
      <c r="BC5" s="72"/>
      <c r="BD5" s="72"/>
      <c r="BE5" s="72"/>
      <c r="BF5" s="72"/>
      <c r="BG5" s="72"/>
    </row>
    <row r="6" spans="1:59" ht="23.25" customHeight="1" x14ac:dyDescent="0.25">
      <c r="A6" s="395" t="s">
        <v>1</v>
      </c>
      <c r="B6" s="395"/>
      <c r="C6" s="396"/>
      <c r="D6" s="423" t="s">
        <v>27</v>
      </c>
      <c r="E6" s="424"/>
      <c r="F6" s="416" t="s">
        <v>28</v>
      </c>
      <c r="G6" s="416"/>
      <c r="H6" s="405" t="s">
        <v>99</v>
      </c>
      <c r="I6" s="406"/>
      <c r="J6" s="77"/>
      <c r="K6" s="77"/>
      <c r="L6" s="77"/>
      <c r="M6" s="77"/>
      <c r="N6" s="77"/>
      <c r="O6" s="77"/>
      <c r="P6" s="77"/>
      <c r="Q6" s="77"/>
      <c r="R6" s="72"/>
      <c r="S6" s="72"/>
      <c r="T6" s="72"/>
      <c r="U6" s="72"/>
      <c r="V6" s="72"/>
      <c r="W6" s="72"/>
      <c r="X6" s="72"/>
      <c r="Y6" s="72"/>
      <c r="Z6" s="72"/>
      <c r="AA6" s="72"/>
      <c r="AB6" s="72"/>
      <c r="AC6" s="72"/>
      <c r="AD6" s="72"/>
      <c r="AE6" s="72"/>
      <c r="AF6" s="72"/>
      <c r="AG6" s="72"/>
      <c r="AH6" s="72"/>
      <c r="AI6" s="72"/>
      <c r="AJ6" s="72"/>
      <c r="AK6" s="72"/>
      <c r="AL6" s="72"/>
      <c r="AM6" s="72"/>
      <c r="AN6" s="72"/>
      <c r="AO6" s="72"/>
      <c r="AP6" s="72"/>
      <c r="AQ6" s="72"/>
      <c r="AR6" s="72"/>
      <c r="AS6" s="72"/>
      <c r="AT6" s="72"/>
      <c r="AU6" s="72"/>
      <c r="AV6" s="72"/>
      <c r="AW6" s="72"/>
      <c r="AX6" s="72"/>
      <c r="AY6" s="72"/>
      <c r="AZ6" s="72"/>
      <c r="BA6" s="72"/>
      <c r="BB6" s="72"/>
      <c r="BC6" s="72"/>
      <c r="BD6" s="72"/>
      <c r="BE6" s="72"/>
      <c r="BF6" s="72"/>
      <c r="BG6" s="72"/>
    </row>
    <row r="7" spans="1:59" ht="25.5" customHeight="1" x14ac:dyDescent="0.25">
      <c r="A7" s="397"/>
      <c r="B7" s="397"/>
      <c r="C7" s="398"/>
      <c r="D7" s="425"/>
      <c r="E7" s="426"/>
      <c r="F7" s="417" t="s">
        <v>30</v>
      </c>
      <c r="G7" s="417"/>
      <c r="H7" s="405" t="s">
        <v>31</v>
      </c>
      <c r="I7" s="406"/>
      <c r="J7" s="77"/>
      <c r="K7" s="77"/>
      <c r="L7" s="77"/>
      <c r="M7" s="77"/>
      <c r="N7" s="77"/>
      <c r="O7" s="77"/>
      <c r="P7" s="77"/>
      <c r="Q7" s="77"/>
      <c r="R7" s="72"/>
      <c r="S7" s="72"/>
      <c r="T7" s="72"/>
      <c r="U7" s="72"/>
      <c r="V7" s="72"/>
      <c r="W7" s="72"/>
      <c r="X7" s="72"/>
      <c r="Y7" s="72"/>
      <c r="Z7" s="72"/>
      <c r="AA7" s="72"/>
      <c r="AB7" s="72"/>
      <c r="AC7" s="72"/>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row>
    <row r="8" spans="1:59" ht="162.6" customHeight="1" x14ac:dyDescent="0.25">
      <c r="A8" s="399" t="s">
        <v>100</v>
      </c>
      <c r="B8" s="400"/>
      <c r="C8" s="401"/>
      <c r="D8" s="422" t="s">
        <v>101</v>
      </c>
      <c r="E8" s="422"/>
      <c r="F8" s="422"/>
      <c r="G8" s="422"/>
      <c r="H8" s="422"/>
      <c r="I8" s="422"/>
      <c r="J8" s="77"/>
      <c r="K8" s="77"/>
      <c r="L8" s="77"/>
      <c r="M8" s="77"/>
      <c r="N8" s="77"/>
      <c r="O8" s="77"/>
      <c r="P8" s="77"/>
      <c r="Q8" s="77"/>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row>
    <row r="9" spans="1:59" ht="22.5" customHeight="1" x14ac:dyDescent="0.25">
      <c r="A9" s="399" t="s">
        <v>102</v>
      </c>
      <c r="B9" s="400"/>
      <c r="C9" s="401"/>
      <c r="D9" s="404" t="s">
        <v>103</v>
      </c>
      <c r="E9" s="404"/>
      <c r="F9" s="404"/>
      <c r="G9" s="404"/>
      <c r="H9" s="404"/>
      <c r="I9" s="404"/>
      <c r="J9" s="77"/>
      <c r="K9" s="77"/>
      <c r="L9" s="77"/>
      <c r="M9" s="77"/>
      <c r="N9" s="77"/>
      <c r="O9" s="77"/>
      <c r="P9" s="77"/>
      <c r="Q9" s="77"/>
      <c r="R9" s="72"/>
      <c r="S9" s="72"/>
      <c r="T9" s="72"/>
      <c r="U9" s="72"/>
      <c r="V9" s="72"/>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row>
    <row r="10" spans="1:59" ht="16.5" customHeight="1" x14ac:dyDescent="0.25">
      <c r="A10" s="73"/>
      <c r="B10" s="73"/>
      <c r="C10" s="73"/>
      <c r="D10" s="78"/>
      <c r="E10" s="78"/>
      <c r="F10" s="78"/>
      <c r="G10" s="78"/>
      <c r="H10" s="78"/>
      <c r="I10" s="78"/>
      <c r="J10" s="77"/>
      <c r="K10" s="77"/>
      <c r="L10" s="77"/>
      <c r="M10" s="77"/>
      <c r="N10" s="77"/>
      <c r="O10" s="72"/>
      <c r="P10" s="72"/>
      <c r="Q10" s="72"/>
      <c r="R10" s="72"/>
      <c r="S10" s="72"/>
      <c r="T10" s="72"/>
      <c r="U10" s="72"/>
      <c r="V10" s="72"/>
      <c r="W10" s="72"/>
      <c r="X10" s="72"/>
      <c r="Y10" s="72"/>
      <c r="Z10" s="72"/>
      <c r="AA10" s="72"/>
      <c r="AB10" s="72"/>
      <c r="AC10" s="72"/>
      <c r="AD10" s="72"/>
      <c r="AE10" s="72"/>
      <c r="AF10" s="72"/>
      <c r="AG10" s="72"/>
      <c r="AH10" s="72"/>
      <c r="AI10" s="72"/>
      <c r="AJ10" s="72"/>
      <c r="AK10" s="72"/>
      <c r="AL10" s="72"/>
      <c r="AM10" s="72"/>
      <c r="AN10" s="72"/>
      <c r="AO10" s="72"/>
      <c r="AP10" s="72"/>
      <c r="AQ10" s="72"/>
      <c r="AR10" s="72"/>
      <c r="AS10" s="72"/>
      <c r="AT10" s="72"/>
      <c r="AU10" s="72"/>
      <c r="AV10" s="72"/>
      <c r="AW10" s="72"/>
      <c r="AX10" s="72"/>
      <c r="AY10" s="72"/>
      <c r="AZ10" s="72"/>
      <c r="BA10" s="72"/>
      <c r="BB10" s="72"/>
      <c r="BC10" s="72"/>
      <c r="BD10" s="72"/>
      <c r="BE10" s="72"/>
      <c r="BF10" s="72"/>
      <c r="BG10" s="72"/>
    </row>
    <row r="11" spans="1:59" ht="21.75" customHeight="1" x14ac:dyDescent="0.25">
      <c r="A11" s="418" t="s">
        <v>104</v>
      </c>
      <c r="B11" s="419"/>
      <c r="C11" s="419"/>
      <c r="D11" s="419"/>
      <c r="E11" s="419"/>
      <c r="F11" s="419"/>
      <c r="G11" s="419"/>
      <c r="H11" s="419"/>
      <c r="I11" s="420"/>
      <c r="J11" s="403" t="s">
        <v>105</v>
      </c>
      <c r="K11" s="403"/>
      <c r="L11" s="403"/>
      <c r="M11" s="403"/>
      <c r="N11" s="403"/>
      <c r="O11" s="403"/>
      <c r="P11" s="403"/>
      <c r="Q11" s="403"/>
      <c r="R11" s="403"/>
      <c r="S11" s="403"/>
      <c r="T11" s="403"/>
      <c r="U11" s="403"/>
      <c r="V11" s="403"/>
      <c r="W11" s="403"/>
      <c r="X11" s="403"/>
      <c r="Y11" s="403"/>
      <c r="Z11" s="403"/>
      <c r="AA11" s="403"/>
      <c r="AB11" s="403"/>
      <c r="AC11" s="403"/>
      <c r="AD11" s="403"/>
      <c r="AE11" s="403"/>
      <c r="AF11" s="403"/>
      <c r="AG11" s="403"/>
      <c r="AH11" s="403"/>
      <c r="AI11" s="418" t="s">
        <v>106</v>
      </c>
      <c r="AJ11" s="420"/>
      <c r="AK11" s="297" t="s">
        <v>107</v>
      </c>
      <c r="AL11" s="297" t="s">
        <v>108</v>
      </c>
      <c r="AM11" s="297" t="s">
        <v>109</v>
      </c>
      <c r="AN11" s="297" t="s">
        <v>108</v>
      </c>
      <c r="AO11" s="297" t="s">
        <v>110</v>
      </c>
      <c r="AP11" s="297" t="s">
        <v>108</v>
      </c>
      <c r="AQ11" s="297" t="s">
        <v>111</v>
      </c>
      <c r="AR11" s="297" t="s">
        <v>108</v>
      </c>
      <c r="AS11" s="72"/>
      <c r="AT11" s="72"/>
      <c r="AU11" s="72"/>
      <c r="AV11" s="72"/>
      <c r="AW11" s="72"/>
      <c r="AX11" s="72"/>
      <c r="AY11" s="72"/>
      <c r="AZ11" s="72"/>
      <c r="BA11" s="72"/>
      <c r="BB11" s="72"/>
      <c r="BC11" s="72"/>
      <c r="BD11" s="72"/>
      <c r="BE11" s="72"/>
      <c r="BF11" s="72"/>
      <c r="BG11" s="72"/>
    </row>
    <row r="12" spans="1:59" x14ac:dyDescent="0.25">
      <c r="A12" s="390" t="s">
        <v>112</v>
      </c>
      <c r="B12" s="391" t="s">
        <v>113</v>
      </c>
      <c r="C12" s="391" t="s">
        <v>114</v>
      </c>
      <c r="D12" s="388" t="s">
        <v>115</v>
      </c>
      <c r="E12" s="388" t="s">
        <v>116</v>
      </c>
      <c r="F12" s="388" t="s">
        <v>117</v>
      </c>
      <c r="G12" s="388" t="s">
        <v>118</v>
      </c>
      <c r="H12" s="388" t="s">
        <v>119</v>
      </c>
      <c r="I12" s="388" t="s">
        <v>120</v>
      </c>
      <c r="J12" s="403" t="s">
        <v>121</v>
      </c>
      <c r="K12" s="403"/>
      <c r="L12" s="403"/>
      <c r="M12" s="403"/>
      <c r="N12" s="403"/>
      <c r="O12" s="402" t="s">
        <v>122</v>
      </c>
      <c r="P12" s="402"/>
      <c r="Q12" s="402"/>
      <c r="R12" s="402"/>
      <c r="S12" s="402"/>
      <c r="T12" s="402"/>
      <c r="U12" s="402"/>
      <c r="V12" s="402"/>
      <c r="W12" s="402"/>
      <c r="X12" s="402"/>
      <c r="Y12" s="79"/>
      <c r="Z12" s="79"/>
      <c r="AA12" s="79"/>
      <c r="AB12" s="79"/>
      <c r="AC12" s="79"/>
      <c r="AD12" s="421" t="s">
        <v>123</v>
      </c>
      <c r="AE12" s="421"/>
      <c r="AF12" s="421"/>
      <c r="AG12" s="421"/>
      <c r="AH12" s="421"/>
      <c r="AI12" s="407" t="s">
        <v>124</v>
      </c>
      <c r="AJ12" s="80" t="s">
        <v>125</v>
      </c>
      <c r="AK12" s="298"/>
      <c r="AL12" s="298"/>
      <c r="AM12" s="298"/>
      <c r="AN12" s="298"/>
      <c r="AO12" s="298"/>
      <c r="AP12" s="298"/>
      <c r="AQ12" s="298"/>
      <c r="AR12" s="298"/>
      <c r="AS12" s="72"/>
      <c r="AT12" s="72"/>
      <c r="AU12" s="72"/>
      <c r="AV12" s="72"/>
      <c r="AW12" s="72"/>
      <c r="AX12" s="72"/>
      <c r="AY12" s="72"/>
      <c r="AZ12" s="72"/>
      <c r="BA12" s="72"/>
      <c r="BB12" s="72"/>
      <c r="BC12" s="72"/>
      <c r="BD12" s="72"/>
      <c r="BE12" s="72"/>
      <c r="BF12" s="72"/>
      <c r="BG12" s="72"/>
    </row>
    <row r="13" spans="1:59" x14ac:dyDescent="0.25">
      <c r="A13" s="390"/>
      <c r="B13" s="391"/>
      <c r="C13" s="391"/>
      <c r="D13" s="392"/>
      <c r="E13" s="392"/>
      <c r="F13" s="392"/>
      <c r="G13" s="393"/>
      <c r="H13" s="392"/>
      <c r="I13" s="392"/>
      <c r="J13" s="384" t="s">
        <v>126</v>
      </c>
      <c r="K13" s="384" t="s">
        <v>127</v>
      </c>
      <c r="L13" s="384" t="s">
        <v>128</v>
      </c>
      <c r="M13" s="384" t="s">
        <v>127</v>
      </c>
      <c r="N13" s="384" t="s">
        <v>129</v>
      </c>
      <c r="O13" s="386" t="s">
        <v>130</v>
      </c>
      <c r="P13" s="388" t="s">
        <v>131</v>
      </c>
      <c r="Q13" s="388" t="s">
        <v>132</v>
      </c>
      <c r="R13" s="410" t="s">
        <v>133</v>
      </c>
      <c r="S13" s="411"/>
      <c r="T13" s="411"/>
      <c r="U13" s="411"/>
      <c r="V13" s="411"/>
      <c r="W13" s="411"/>
      <c r="X13" s="412"/>
      <c r="Y13" s="386" t="s">
        <v>134</v>
      </c>
      <c r="Z13" s="386" t="s">
        <v>135</v>
      </c>
      <c r="AA13" s="386" t="s">
        <v>127</v>
      </c>
      <c r="AB13" s="386" t="s">
        <v>136</v>
      </c>
      <c r="AC13" s="386" t="s">
        <v>127</v>
      </c>
      <c r="AD13" s="386" t="s">
        <v>137</v>
      </c>
      <c r="AE13" s="386" t="s">
        <v>127</v>
      </c>
      <c r="AF13" s="386" t="s">
        <v>138</v>
      </c>
      <c r="AG13" s="386" t="s">
        <v>127</v>
      </c>
      <c r="AH13" s="386" t="s">
        <v>139</v>
      </c>
      <c r="AI13" s="407"/>
      <c r="AJ13" s="448" t="s">
        <v>140</v>
      </c>
      <c r="AK13" s="298"/>
      <c r="AL13" s="298"/>
      <c r="AM13" s="298"/>
      <c r="AN13" s="298"/>
      <c r="AO13" s="298"/>
      <c r="AP13" s="298"/>
      <c r="AQ13" s="298"/>
      <c r="AR13" s="298"/>
      <c r="AS13" s="72"/>
      <c r="AT13" s="72"/>
      <c r="AU13" s="72"/>
      <c r="AV13" s="72"/>
      <c r="AW13" s="72"/>
      <c r="AX13" s="72"/>
      <c r="AY13" s="72"/>
      <c r="AZ13" s="72"/>
      <c r="BA13" s="72"/>
      <c r="BB13" s="72"/>
      <c r="BC13" s="72"/>
      <c r="BD13" s="72"/>
      <c r="BE13" s="72"/>
      <c r="BF13" s="72"/>
      <c r="BG13" s="72"/>
    </row>
    <row r="14" spans="1:59" s="82" customFormat="1" ht="69.599999999999994" x14ac:dyDescent="0.3">
      <c r="A14" s="390"/>
      <c r="B14" s="391"/>
      <c r="C14" s="391"/>
      <c r="D14" s="389"/>
      <c r="E14" s="389"/>
      <c r="F14" s="389"/>
      <c r="G14" s="394"/>
      <c r="H14" s="389"/>
      <c r="I14" s="389"/>
      <c r="J14" s="385"/>
      <c r="K14" s="385"/>
      <c r="L14" s="385"/>
      <c r="M14" s="385"/>
      <c r="N14" s="385"/>
      <c r="O14" s="387"/>
      <c r="P14" s="389"/>
      <c r="Q14" s="389"/>
      <c r="R14" s="105" t="s">
        <v>141</v>
      </c>
      <c r="S14" s="105" t="s">
        <v>142</v>
      </c>
      <c r="T14" s="105" t="s">
        <v>143</v>
      </c>
      <c r="U14" s="105" t="s">
        <v>144</v>
      </c>
      <c r="V14" s="105" t="s">
        <v>145</v>
      </c>
      <c r="W14" s="105" t="s">
        <v>146</v>
      </c>
      <c r="X14" s="106" t="s">
        <v>147</v>
      </c>
      <c r="Y14" s="387"/>
      <c r="Z14" s="387"/>
      <c r="AA14" s="387"/>
      <c r="AB14" s="387"/>
      <c r="AC14" s="387"/>
      <c r="AD14" s="387"/>
      <c r="AE14" s="387"/>
      <c r="AF14" s="387"/>
      <c r="AG14" s="387"/>
      <c r="AH14" s="387"/>
      <c r="AI14" s="407"/>
      <c r="AJ14" s="449"/>
      <c r="AK14" s="299"/>
      <c r="AL14" s="299"/>
      <c r="AM14" s="299"/>
      <c r="AN14" s="299"/>
      <c r="AO14" s="299"/>
      <c r="AP14" s="299"/>
      <c r="AQ14" s="299"/>
      <c r="AR14" s="299"/>
      <c r="AS14" s="81"/>
      <c r="AT14" s="81"/>
      <c r="AU14" s="81"/>
      <c r="AV14" s="81"/>
      <c r="AW14" s="81"/>
      <c r="AX14" s="81"/>
      <c r="AY14" s="81"/>
      <c r="AZ14" s="81"/>
      <c r="BA14" s="81"/>
      <c r="BB14" s="81"/>
      <c r="BC14" s="81"/>
      <c r="BD14" s="81"/>
      <c r="BE14" s="81"/>
      <c r="BF14" s="81"/>
      <c r="BG14" s="81"/>
    </row>
    <row r="15" spans="1:59" s="87" customFormat="1" ht="66" customHeight="1" x14ac:dyDescent="0.3">
      <c r="A15" s="427" t="s">
        <v>148</v>
      </c>
      <c r="B15" s="437" t="s">
        <v>149</v>
      </c>
      <c r="C15" s="429" t="s">
        <v>150</v>
      </c>
      <c r="D15" s="358" t="s">
        <v>151</v>
      </c>
      <c r="E15" s="358" t="s">
        <v>152</v>
      </c>
      <c r="F15" s="431" t="s">
        <v>153</v>
      </c>
      <c r="G15" s="434" t="s">
        <v>154</v>
      </c>
      <c r="H15" s="83" t="s">
        <v>155</v>
      </c>
      <c r="I15" s="358" t="s">
        <v>156</v>
      </c>
      <c r="J15" s="313" t="s">
        <v>157</v>
      </c>
      <c r="K15" s="323">
        <f>IF(J15="","",IF(J15="Muy Baja",0.2,IF(J15="Baja",0.4,IF(J15="Media",0.6,IF(J15="Alta",0.8,IF(J15="Muy Alta",1,))))))</f>
        <v>0.8</v>
      </c>
      <c r="L15" s="313" t="s">
        <v>15</v>
      </c>
      <c r="M15" s="323">
        <f>IF(L15="","",IF(L15="Leve",0.2,IF(L15="Menor",0.4,IF(L15="Moderado",0.6,IF(L15="Mayor",0.8,IF(L15="Catastrófico",1,))))))</f>
        <v>0.6</v>
      </c>
      <c r="N15" s="344" t="str">
        <f>IF(OR(AND(J15="Muy Baja",L15="Leve"),AND(J15="Muy Baja",L15="Menor"),AND(J15="Baja",L15="Leve")),"Bajo",IF(OR(AND(J15="Muy Baja",L15="Moderado"),AND(J15="Baja",L15="Menor"),AND(J15="Baja",L15="Moderado"),AND(J15="Media",L15="Leve"),AND(J15="Media",L15="Menor"),AND(J15="Media",L15="Moderado"),AND(J15="Alta",L15="Leve"),AND(J15="Alta",L15="Menor")),"Moderado",IF(OR(AND(J15="Muy Baja",L15="Mayor"),AND(J15="Baja",L15="Mayor"),AND(J15="Media",L15="Mayor"),AND(J15="Alta",L15="Moderado"),AND(J15="Alta",L15="Mayor"),AND(J15="Muy Alta",L15="Leve"),AND(J15="Muy Alta",L15="Menor"),AND(J15="Muy Alta",L15="Moderado"),AND(J15="Muy Alta",L15="Mayor")),"Alto",IF(OR(AND(J15="Muy Baja",L15="Catastrófico"),AND(J15="Baja",L15="Catastrófico"),AND(J15="Media",L15="Catastrófico"),AND(J15="Alta",L15="Catastrófico"),AND(J15="Muy Alta",L15="Catastrófico")),"Extremo",""))))</f>
        <v>Alto</v>
      </c>
      <c r="O15" s="26">
        <v>1</v>
      </c>
      <c r="P15" s="97" t="s">
        <v>158</v>
      </c>
      <c r="Q15" s="26" t="str">
        <f>IF(OR(R15="Preventivo",R15="Detectivo"),"Probabilidad",IF(R15="Correctivo","Impacto",""))</f>
        <v>Probabilidad</v>
      </c>
      <c r="R15" s="100" t="s">
        <v>159</v>
      </c>
      <c r="S15" s="100" t="s">
        <v>160</v>
      </c>
      <c r="T15" s="27" t="str">
        <f>IF(AND(R15="Preventivo",S15="Automático"),"50%",IF(AND(R15="Preventivo",S15="Manual"),"40%",IF(AND(R15="Detectivo",S15="Automático"),"40%",IF(AND(R15="Detectivo",S15="Manual"),"30%",IF(AND(R15="Correctivo",S15="Automático"),"35%",IF(AND(R15="Correctivo",S15="Manual"),"25%",""))))))</f>
        <v>40%</v>
      </c>
      <c r="U15" s="100" t="s">
        <v>161</v>
      </c>
      <c r="V15" s="100" t="s">
        <v>162</v>
      </c>
      <c r="W15" s="100" t="s">
        <v>163</v>
      </c>
      <c r="X15" s="104" t="s">
        <v>164</v>
      </c>
      <c r="Y15" s="85">
        <f>IFERROR(IF(Q15="Probabilidad",(K15-(+K15*T15)),IF(Q15="Impacto",K15,"")),"")</f>
        <v>0.48</v>
      </c>
      <c r="Z15" s="29" t="str">
        <f t="shared" ref="Z15:Z18" si="0">IFERROR(IF(Y15="","",IF(Y15&lt;=0.2,"Muy Baja",IF(Y15&lt;=0.4,"Baja",IF(Y15&lt;=0.6,"Media",IF(Y15&lt;=0.8,"Alta","Muy Alta"))))),"")</f>
        <v>Media</v>
      </c>
      <c r="AA15" s="27">
        <f>+Y15</f>
        <v>0.48</v>
      </c>
      <c r="AB15" s="29" t="str">
        <f>IFERROR(IF(AC15="","",IF(AC15&lt;=0.2,"Leve",IF(AC15&lt;=0.4,"Menor",IF(AC15&lt;=0.6,"Moderado",IF(AC15&lt;=0.8,"Mayor","Catastrófico"))))),"")</f>
        <v>Moderado</v>
      </c>
      <c r="AC15" s="27">
        <f>IFERROR(IF(Q15="Impacto",(M15-(+M15*T15)),IF(Q15="Probabilidad",M15,"")),"")</f>
        <v>0.6</v>
      </c>
      <c r="AD15" s="313" t="str">
        <f>IFERROR(IF(AE15=0,"",IF(AND(AE15&gt;0,AE15&lt;=0.2),"Muy Baja",IF(AE15&lt;=0.4,"Baja",IF(AE15&lt;=0.6,"Media",IF(AE15&lt;=0.8,"Alta","Muy Alta"))))),"")</f>
        <v>Muy Baja</v>
      </c>
      <c r="AE15" s="300">
        <f>MIN(Y15:Y22)</f>
        <v>1.5676415999999999E-2</v>
      </c>
      <c r="AF15" s="313" t="str">
        <f>IFERROR(IF(AG15=0,"",IF(AND(AG15&gt;0,AG15&lt;=0.2),"Leve",IF(AG15&lt;=0.4,"Menor",IF(AG15&lt;=0.6,"Moderado",IF(AG15&lt;=0.8,"Mayor","Catastrófico"))))),"")</f>
        <v>Moderado</v>
      </c>
      <c r="AG15" s="300">
        <f>MIN(AC15:AC22)</f>
        <v>0.6</v>
      </c>
      <c r="AH15" s="317" t="str">
        <f>IFERROR(IF(OR(AND(AD15="Muy Baja",AF15="Leve"),AND(AD15="Muy Baja",AF15="Menor"),AND(AD15="Baja",AF15="Leve")),"Bajo",IF(OR(AND(AD15="Muy Baja",AF15="Moderado"),AND(AD15="Baja",AF15="Menor"),AND(AD15="Baja",AF15="Moderado"),AND(AD15="Media",AF15="Leve"),AND(AD15="Media",AF15="Menor"),AND(AD15="Media",AF15="Moderado"),AND(AD15="Alta",AF15="Leve"),AND(AD15="Alta",AF15="Menor")),"Moderado",IF(OR(AND(AD15="Muy Baja",AF15="Mayor"),AND(AD15="Baja",AF15="Mayor"),AND(AD15="Media",AF15="Mayor"),AND(AD15="Alta",AF15="Moderado"),AND(AD15="Alta",AF15="Mayor"),AND(AD15="Muy Alta",AF15="Leve"),AND(AD15="Muy Alta",AF15="Menor"),AND(AD15="Muy Alta",AF15="Moderado"),AND(AD15="Muy Alta",AF15="Mayor")),"Alto",IF(OR(AND(AD15="Muy Baja",AF15="Catastrófico"),AND(AD15="Baja",AF15="Catastrófico"),AND(AD15="Media",AF15="Catastrófico"),AND(AD15="Alta",AF15="Catastrófico"),AND(AD15="Muy Alta",AF15="Catastrófico")),"Extremo","")))),"")</f>
        <v>Moderado</v>
      </c>
      <c r="AI15" s="302" t="s">
        <v>165</v>
      </c>
      <c r="AJ15" s="362"/>
      <c r="AK15" s="281" t="s">
        <v>166</v>
      </c>
      <c r="AL15" s="281" t="s">
        <v>167</v>
      </c>
      <c r="AM15" s="286" t="s">
        <v>611</v>
      </c>
      <c r="AN15" s="293" t="s">
        <v>168</v>
      </c>
      <c r="AO15" s="284" t="s">
        <v>169</v>
      </c>
      <c r="AP15" s="281"/>
      <c r="AQ15" s="284" t="s">
        <v>169</v>
      </c>
      <c r="AR15" s="281"/>
      <c r="AS15" s="86"/>
      <c r="AT15" s="86"/>
      <c r="AU15" s="86"/>
      <c r="AV15" s="86"/>
      <c r="AW15" s="86"/>
      <c r="AX15" s="86"/>
      <c r="AY15" s="86"/>
      <c r="AZ15" s="86"/>
      <c r="BA15" s="86"/>
      <c r="BB15" s="86"/>
      <c r="BC15" s="86"/>
      <c r="BD15" s="86"/>
      <c r="BE15" s="86"/>
      <c r="BF15" s="86"/>
      <c r="BG15" s="86"/>
    </row>
    <row r="16" spans="1:59" ht="59.25" customHeight="1" x14ac:dyDescent="0.25">
      <c r="A16" s="428"/>
      <c r="B16" s="437"/>
      <c r="C16" s="429"/>
      <c r="D16" s="359"/>
      <c r="E16" s="359"/>
      <c r="F16" s="432"/>
      <c r="G16" s="435"/>
      <c r="H16" s="83" t="s">
        <v>170</v>
      </c>
      <c r="I16" s="359"/>
      <c r="J16" s="314"/>
      <c r="K16" s="323"/>
      <c r="L16" s="314"/>
      <c r="M16" s="323"/>
      <c r="N16" s="344"/>
      <c r="O16" s="26">
        <v>2</v>
      </c>
      <c r="P16" s="84" t="s">
        <v>171</v>
      </c>
      <c r="Q16" s="26" t="str">
        <f>IF(OR(R16="Preventivo",R16="Detectivo"),"Probabilidad",IF(R16="Correctivo","Impacto",""))</f>
        <v>Probabilidad</v>
      </c>
      <c r="R16" s="100" t="s">
        <v>159</v>
      </c>
      <c r="S16" s="100" t="s">
        <v>160</v>
      </c>
      <c r="T16" s="27" t="str">
        <f>IF(AND(R16="Preventivo",S16="Automático"),"50%",IF(AND(R16="Preventivo",S16="Manual"),"40%",IF(AND(R16="Detectivo",S16="Automático"),"40%",IF(AND(R16="Detectivo",S16="Manual"),"30%",IF(AND(R16="Correctivo",S16="Automático"),"35%",IF(AND(R16="Correctivo",S16="Manual"),"25%",""))))))</f>
        <v>40%</v>
      </c>
      <c r="U16" s="100" t="s">
        <v>161</v>
      </c>
      <c r="V16" s="100" t="s">
        <v>162</v>
      </c>
      <c r="W16" s="100" t="s">
        <v>163</v>
      </c>
      <c r="X16" s="104" t="s">
        <v>172</v>
      </c>
      <c r="Y16" s="85">
        <f>IFERROR(IF(AND(Q15="Probabilidad",Q16="Probabilidad"),(AA15-(+AA15*T16)),IF(Q16="Probabilidad",(K15-(+K15*T16)),IF(Q16="Impacto",AA15,""))),"")</f>
        <v>0.28799999999999998</v>
      </c>
      <c r="Z16" s="29" t="str">
        <f t="shared" si="0"/>
        <v>Baja</v>
      </c>
      <c r="AA16" s="27">
        <f t="shared" ref="AA16:AA18" si="1">+Y16</f>
        <v>0.28799999999999998</v>
      </c>
      <c r="AB16" s="29" t="str">
        <f t="shared" ref="AB16:AB18" si="2">IFERROR(IF(AC16="","",IF(AC16&lt;=0.2,"Leve",IF(AC16&lt;=0.4,"Menor",IF(AC16&lt;=0.6,"Moderado",IF(AC16&lt;=0.8,"Mayor","Catastrófico"))))),"")</f>
        <v>Moderado</v>
      </c>
      <c r="AC16" s="27">
        <f>IFERROR(IF(AND(Q15="Impacto",Q16="Impacto"),(AC15-(+AC15*T16)),IF(Q16="Impacto",($M$15-(+$M$15*T16)),IF(Q16="Probabilidad",AC15,""))),"")</f>
        <v>0.6</v>
      </c>
      <c r="AD16" s="314"/>
      <c r="AE16" s="301"/>
      <c r="AF16" s="314"/>
      <c r="AG16" s="301"/>
      <c r="AH16" s="318"/>
      <c r="AI16" s="303"/>
      <c r="AJ16" s="363"/>
      <c r="AK16" s="282"/>
      <c r="AL16" s="282"/>
      <c r="AM16" s="287"/>
      <c r="AN16" s="287"/>
      <c r="AO16" s="285"/>
      <c r="AP16" s="282"/>
      <c r="AQ16" s="285"/>
      <c r="AR16" s="282"/>
      <c r="AS16" s="72"/>
      <c r="AT16" s="72"/>
      <c r="AU16" s="72"/>
      <c r="AV16" s="72"/>
      <c r="AW16" s="72"/>
      <c r="AX16" s="72"/>
      <c r="AY16" s="72"/>
      <c r="AZ16" s="72"/>
      <c r="BA16" s="72"/>
      <c r="BB16" s="72"/>
      <c r="BC16" s="72"/>
      <c r="BD16" s="72"/>
      <c r="BE16" s="72"/>
      <c r="BF16" s="72"/>
      <c r="BG16" s="72"/>
    </row>
    <row r="17" spans="1:59" ht="69" customHeight="1" x14ac:dyDescent="0.25">
      <c r="A17" s="428"/>
      <c r="B17" s="437"/>
      <c r="C17" s="429"/>
      <c r="D17" s="359"/>
      <c r="E17" s="359"/>
      <c r="F17" s="432"/>
      <c r="G17" s="435"/>
      <c r="H17" s="83" t="s">
        <v>173</v>
      </c>
      <c r="I17" s="359"/>
      <c r="J17" s="314"/>
      <c r="K17" s="323"/>
      <c r="L17" s="314"/>
      <c r="M17" s="323"/>
      <c r="N17" s="344"/>
      <c r="O17" s="26">
        <v>4</v>
      </c>
      <c r="P17" s="84" t="s">
        <v>174</v>
      </c>
      <c r="Q17" s="26" t="str">
        <f t="shared" ref="Q17:Q22" si="3">IF(OR(R17="Preventivo",R17="Detectivo"),"Probabilidad",IF(R17="Correctivo","Impacto",""))</f>
        <v>Probabilidad</v>
      </c>
      <c r="R17" s="100" t="s">
        <v>159</v>
      </c>
      <c r="S17" s="100" t="s">
        <v>160</v>
      </c>
      <c r="T17" s="27" t="str">
        <f t="shared" ref="T17:T18" si="4">IF(AND(R17="Preventivo",S17="Automático"),"50%",IF(AND(R17="Preventivo",S17="Manual"),"40%",IF(AND(R17="Detectivo",S17="Automático"),"40%",IF(AND(R17="Detectivo",S17="Manual"),"30%",IF(AND(R17="Correctivo",S17="Automático"),"35%",IF(AND(R17="Correctivo",S17="Manual"),"25%",""))))))</f>
        <v>40%</v>
      </c>
      <c r="U17" s="100" t="s">
        <v>161</v>
      </c>
      <c r="V17" s="100" t="s">
        <v>162</v>
      </c>
      <c r="W17" s="100" t="s">
        <v>163</v>
      </c>
      <c r="X17" s="104" t="s">
        <v>175</v>
      </c>
      <c r="Y17" s="85">
        <f>IFERROR(IF(AND(Q16="Probabilidad",Q17="Probabilidad"),(AA16-(+AA16*T17)),IF(Q17="Probabilidad",(K16-(+K16*T17)),IF(Q17="Impacto",AA16,""))),"")</f>
        <v>0.17279999999999998</v>
      </c>
      <c r="Z17" s="29" t="str">
        <f t="shared" ref="Z17" si="5">IFERROR(IF(Y17="","",IF(Y17&lt;=0.2,"Muy Baja",IF(Y17&lt;=0.4,"Baja",IF(Y17&lt;=0.6,"Media",IF(Y17&lt;=0.8,"Alta","Muy Alta"))))),"")</f>
        <v>Muy Baja</v>
      </c>
      <c r="AA17" s="27">
        <f t="shared" ref="AA17" si="6">+Y17</f>
        <v>0.17279999999999998</v>
      </c>
      <c r="AB17" s="29" t="str">
        <f t="shared" ref="AB17" si="7">IFERROR(IF(AC17="","",IF(AC17&lt;=0.2,"Leve",IF(AC17&lt;=0.4,"Menor",IF(AC17&lt;=0.6,"Moderado",IF(AC17&lt;=0.8,"Mayor","Catastrófico"))))),"")</f>
        <v>Moderado</v>
      </c>
      <c r="AC17" s="27">
        <f>IFERROR(IF(AND(Q16="Impacto",Q17="Impacto"),(AC16-(+AC16*T17)),IF(Q17="Impacto",($M$15-(+$M$15*T17)),IF(Q17="Probabilidad",AC16,""))),"")</f>
        <v>0.6</v>
      </c>
      <c r="AD17" s="314"/>
      <c r="AE17" s="301"/>
      <c r="AF17" s="314"/>
      <c r="AG17" s="301"/>
      <c r="AH17" s="318"/>
      <c r="AI17" s="303"/>
      <c r="AJ17" s="363"/>
      <c r="AK17" s="282"/>
      <c r="AL17" s="282"/>
      <c r="AM17" s="287"/>
      <c r="AN17" s="287"/>
      <c r="AO17" s="285"/>
      <c r="AP17" s="282"/>
      <c r="AQ17" s="285"/>
      <c r="AR17" s="282"/>
      <c r="AS17" s="72"/>
      <c r="AT17" s="72"/>
      <c r="AU17" s="72"/>
      <c r="AV17" s="72"/>
      <c r="AW17" s="72"/>
      <c r="AX17" s="72"/>
      <c r="AY17" s="72"/>
      <c r="AZ17" s="72"/>
      <c r="BA17" s="72"/>
      <c r="BB17" s="72"/>
      <c r="BC17" s="72"/>
      <c r="BD17" s="72"/>
      <c r="BE17" s="72"/>
      <c r="BF17" s="72"/>
      <c r="BG17" s="72"/>
    </row>
    <row r="18" spans="1:59" ht="64.5" customHeight="1" x14ac:dyDescent="0.25">
      <c r="A18" s="428"/>
      <c r="B18" s="437"/>
      <c r="C18" s="429"/>
      <c r="D18" s="359"/>
      <c r="E18" s="359"/>
      <c r="F18" s="432"/>
      <c r="G18" s="435"/>
      <c r="H18" s="408" t="s">
        <v>176</v>
      </c>
      <c r="I18" s="359"/>
      <c r="J18" s="314"/>
      <c r="K18" s="323"/>
      <c r="L18" s="314"/>
      <c r="M18" s="323"/>
      <c r="N18" s="344"/>
      <c r="O18" s="26" t="s">
        <v>177</v>
      </c>
      <c r="P18" s="84" t="s">
        <v>178</v>
      </c>
      <c r="Q18" s="26" t="str">
        <f t="shared" si="3"/>
        <v>Probabilidad</v>
      </c>
      <c r="R18" s="100" t="s">
        <v>159</v>
      </c>
      <c r="S18" s="100" t="s">
        <v>160</v>
      </c>
      <c r="T18" s="27" t="str">
        <f t="shared" si="4"/>
        <v>40%</v>
      </c>
      <c r="U18" s="100" t="s">
        <v>161</v>
      </c>
      <c r="V18" s="100" t="s">
        <v>162</v>
      </c>
      <c r="W18" s="100" t="s">
        <v>163</v>
      </c>
      <c r="X18" s="104" t="s">
        <v>179</v>
      </c>
      <c r="Y18" s="85">
        <f>IFERROR(IF(AND(Q17="Probabilidad",Q18="Probabilidad"),(AA17-(+AA17*T18)),IF(AND(Q17="Impacto",Q18="Probabilidad"),(#REF!-(+#REF!*T18)),IF(Q18="Impacto",AA17,""))),"")</f>
        <v>0.10367999999999998</v>
      </c>
      <c r="Z18" s="29" t="str">
        <f t="shared" si="0"/>
        <v>Muy Baja</v>
      </c>
      <c r="AA18" s="27">
        <f t="shared" si="1"/>
        <v>0.10367999999999998</v>
      </c>
      <c r="AB18" s="29" t="str">
        <f t="shared" si="2"/>
        <v>Moderado</v>
      </c>
      <c r="AC18" s="27">
        <f>IFERROR(IF(AND(Q17="Impacto",Q18="Impacto"),(AC17-(+AC17*T18)),IF(AND(Q17="Probabilidad",Q18="Impacto"),(#REF!-(+#REF!*T18)),IF(Q18="Probabilidad",AC17,""))),"")</f>
        <v>0.6</v>
      </c>
      <c r="AD18" s="314"/>
      <c r="AE18" s="301"/>
      <c r="AF18" s="314"/>
      <c r="AG18" s="301"/>
      <c r="AH18" s="318"/>
      <c r="AI18" s="303"/>
      <c r="AJ18" s="363"/>
      <c r="AK18" s="282"/>
      <c r="AL18" s="282"/>
      <c r="AM18" s="287"/>
      <c r="AN18" s="287"/>
      <c r="AO18" s="285"/>
      <c r="AP18" s="282"/>
      <c r="AQ18" s="285"/>
      <c r="AR18" s="282"/>
      <c r="AS18" s="72"/>
      <c r="AT18" s="72"/>
      <c r="AU18" s="72"/>
      <c r="AV18" s="72"/>
      <c r="AW18" s="72"/>
      <c r="AX18" s="72"/>
      <c r="AY18" s="72"/>
      <c r="AZ18" s="72"/>
      <c r="BA18" s="72"/>
      <c r="BB18" s="72"/>
      <c r="BC18" s="72"/>
      <c r="BD18" s="72"/>
      <c r="BE18" s="72"/>
      <c r="BF18" s="72"/>
      <c r="BG18" s="72"/>
    </row>
    <row r="19" spans="1:59" ht="66" customHeight="1" x14ac:dyDescent="0.25">
      <c r="A19" s="428"/>
      <c r="B19" s="437"/>
      <c r="C19" s="429"/>
      <c r="D19" s="359"/>
      <c r="E19" s="359"/>
      <c r="F19" s="432"/>
      <c r="G19" s="435"/>
      <c r="H19" s="409"/>
      <c r="I19" s="359"/>
      <c r="J19" s="314"/>
      <c r="K19" s="323"/>
      <c r="L19" s="314"/>
      <c r="M19" s="323"/>
      <c r="N19" s="344"/>
      <c r="O19" s="26" t="s">
        <v>180</v>
      </c>
      <c r="P19" s="84" t="s">
        <v>181</v>
      </c>
      <c r="Q19" s="26" t="str">
        <f t="shared" si="3"/>
        <v>Probabilidad</v>
      </c>
      <c r="R19" s="100" t="s">
        <v>159</v>
      </c>
      <c r="S19" s="100" t="s">
        <v>160</v>
      </c>
      <c r="T19" s="27" t="str">
        <f t="shared" ref="T19" si="8">IF(AND(R19="Preventivo",S19="Automático"),"50%",IF(AND(R19="Preventivo",S19="Manual"),"40%",IF(AND(R19="Detectivo",S19="Automático"),"40%",IF(AND(R19="Detectivo",S19="Manual"),"30%",IF(AND(R19="Correctivo",S19="Automático"),"35%",IF(AND(R19="Correctivo",S19="Manual"),"25%",""))))))</f>
        <v>40%</v>
      </c>
      <c r="U19" s="100" t="s">
        <v>161</v>
      </c>
      <c r="V19" s="100" t="s">
        <v>162</v>
      </c>
      <c r="W19" s="100" t="s">
        <v>163</v>
      </c>
      <c r="X19" s="104" t="s">
        <v>182</v>
      </c>
      <c r="Y19" s="85">
        <f t="shared" ref="Y19:Y22" si="9">IFERROR(IF(AND(Q18="Probabilidad",Q19="Probabilidad"),(AA18-(+AA18*T19)),IF(AND(Q18="Impacto",Q19="Probabilidad"),(AA17-(+AA17*T19)),IF(Q19="Impacto",AA18,""))),"")</f>
        <v>6.2207999999999986E-2</v>
      </c>
      <c r="Z19" s="29" t="str">
        <f t="shared" ref="Z19:Z22" si="10">IFERROR(IF(Y19="","",IF(Y19&lt;=0.2,"Muy Baja",IF(Y19&lt;=0.4,"Baja",IF(Y19&lt;=0.6,"Media",IF(Y19&lt;=0.8,"Alta","Muy Alta"))))),"")</f>
        <v>Muy Baja</v>
      </c>
      <c r="AA19" s="27">
        <f t="shared" ref="AA19:AA22" si="11">+Y19</f>
        <v>6.2207999999999986E-2</v>
      </c>
      <c r="AB19" s="29" t="str">
        <f t="shared" ref="AB19:AB22" si="12">IFERROR(IF(AC19="","",IF(AC19&lt;=0.2,"Leve",IF(AC19&lt;=0.4,"Menor",IF(AC19&lt;=0.6,"Moderado",IF(AC19&lt;=0.8,"Mayor","Catastrófico"))))),"")</f>
        <v>Moderado</v>
      </c>
      <c r="AC19" s="27">
        <f t="shared" ref="AC19:AC22" si="13">IFERROR(IF(AND(Q18="Impacto",Q19="Impacto"),(AC18-(+AC18*T19)),IF(AND(Q18="Probabilidad",Q19="Impacto"),(AC17-(+AC17*T19)),IF(Q19="Probabilidad",AC18,""))),"")</f>
        <v>0.6</v>
      </c>
      <c r="AD19" s="314"/>
      <c r="AE19" s="301"/>
      <c r="AF19" s="314"/>
      <c r="AG19" s="301"/>
      <c r="AH19" s="318"/>
      <c r="AI19" s="303"/>
      <c r="AJ19" s="363"/>
      <c r="AK19" s="282"/>
      <c r="AL19" s="282"/>
      <c r="AM19" s="287"/>
      <c r="AN19" s="287"/>
      <c r="AO19" s="285"/>
      <c r="AP19" s="282"/>
      <c r="AQ19" s="285"/>
      <c r="AR19" s="282"/>
      <c r="AS19" s="72"/>
      <c r="AT19" s="72"/>
      <c r="AU19" s="72"/>
      <c r="AV19" s="72"/>
      <c r="AW19" s="72"/>
      <c r="AX19" s="72"/>
      <c r="AY19" s="72"/>
      <c r="AZ19" s="72"/>
      <c r="BA19" s="72"/>
      <c r="BB19" s="72"/>
      <c r="BC19" s="72"/>
      <c r="BD19" s="72"/>
      <c r="BE19" s="72"/>
      <c r="BF19" s="72"/>
      <c r="BG19" s="72"/>
    </row>
    <row r="20" spans="1:59" ht="78.75" customHeight="1" x14ac:dyDescent="0.25">
      <c r="A20" s="428"/>
      <c r="B20" s="437"/>
      <c r="C20" s="429"/>
      <c r="D20" s="359"/>
      <c r="E20" s="359"/>
      <c r="F20" s="432"/>
      <c r="G20" s="435"/>
      <c r="H20" s="408" t="s">
        <v>183</v>
      </c>
      <c r="I20" s="359"/>
      <c r="J20" s="314"/>
      <c r="K20" s="323"/>
      <c r="L20" s="314"/>
      <c r="M20" s="323"/>
      <c r="N20" s="344"/>
      <c r="O20" s="26" t="s">
        <v>184</v>
      </c>
      <c r="P20" s="84" t="s">
        <v>185</v>
      </c>
      <c r="Q20" s="26" t="str">
        <f t="shared" si="3"/>
        <v>Probabilidad</v>
      </c>
      <c r="R20" s="100" t="s">
        <v>159</v>
      </c>
      <c r="S20" s="100" t="s">
        <v>160</v>
      </c>
      <c r="T20" s="27" t="str">
        <f t="shared" ref="T20:T22" si="14">IF(AND(R20="Preventivo",S20="Automático"),"50%",IF(AND(R20="Preventivo",S20="Manual"),"40%",IF(AND(R20="Detectivo",S20="Automático"),"40%",IF(AND(R20="Detectivo",S20="Manual"),"30%",IF(AND(R20="Correctivo",S20="Automático"),"35%",IF(AND(R20="Correctivo",S20="Manual"),"25%",""))))))</f>
        <v>40%</v>
      </c>
      <c r="U20" s="100" t="s">
        <v>186</v>
      </c>
      <c r="V20" s="100" t="s">
        <v>162</v>
      </c>
      <c r="W20" s="100" t="s">
        <v>163</v>
      </c>
      <c r="X20" s="104" t="s">
        <v>187</v>
      </c>
      <c r="Y20" s="85">
        <f t="shared" si="9"/>
        <v>3.7324799999999991E-2</v>
      </c>
      <c r="Z20" s="29" t="str">
        <f t="shared" si="10"/>
        <v>Muy Baja</v>
      </c>
      <c r="AA20" s="27">
        <f t="shared" si="11"/>
        <v>3.7324799999999991E-2</v>
      </c>
      <c r="AB20" s="29" t="str">
        <f t="shared" si="12"/>
        <v>Moderado</v>
      </c>
      <c r="AC20" s="27">
        <f t="shared" si="13"/>
        <v>0.6</v>
      </c>
      <c r="AD20" s="314"/>
      <c r="AE20" s="301"/>
      <c r="AF20" s="314"/>
      <c r="AG20" s="301"/>
      <c r="AH20" s="318"/>
      <c r="AI20" s="303"/>
      <c r="AJ20" s="363"/>
      <c r="AK20" s="282"/>
      <c r="AL20" s="282"/>
      <c r="AM20" s="287"/>
      <c r="AN20" s="287"/>
      <c r="AO20" s="285"/>
      <c r="AP20" s="282"/>
      <c r="AQ20" s="285"/>
      <c r="AR20" s="282"/>
      <c r="AS20" s="72"/>
      <c r="AT20" s="72"/>
      <c r="AU20" s="72"/>
      <c r="AV20" s="72"/>
      <c r="AW20" s="72"/>
      <c r="AX20" s="72"/>
      <c r="AY20" s="72"/>
      <c r="AZ20" s="72"/>
      <c r="BA20" s="72"/>
      <c r="BB20" s="72"/>
      <c r="BC20" s="72"/>
      <c r="BD20" s="72"/>
      <c r="BE20" s="72"/>
      <c r="BF20" s="72"/>
      <c r="BG20" s="72"/>
    </row>
    <row r="21" spans="1:59" ht="94.5" customHeight="1" x14ac:dyDescent="0.25">
      <c r="A21" s="428"/>
      <c r="B21" s="437"/>
      <c r="C21" s="429"/>
      <c r="D21" s="359"/>
      <c r="E21" s="359"/>
      <c r="F21" s="432"/>
      <c r="G21" s="435"/>
      <c r="H21" s="409"/>
      <c r="I21" s="359"/>
      <c r="J21" s="314"/>
      <c r="K21" s="323"/>
      <c r="L21" s="314"/>
      <c r="M21" s="323"/>
      <c r="N21" s="344"/>
      <c r="O21" s="26" t="s">
        <v>188</v>
      </c>
      <c r="P21" s="84" t="s">
        <v>189</v>
      </c>
      <c r="Q21" s="26" t="str">
        <f t="shared" si="3"/>
        <v>Probabilidad</v>
      </c>
      <c r="R21" s="100" t="s">
        <v>190</v>
      </c>
      <c r="S21" s="100" t="s">
        <v>160</v>
      </c>
      <c r="T21" s="27" t="str">
        <f t="shared" si="14"/>
        <v>30%</v>
      </c>
      <c r="U21" s="100" t="s">
        <v>186</v>
      </c>
      <c r="V21" s="100" t="s">
        <v>162</v>
      </c>
      <c r="W21" s="100" t="s">
        <v>163</v>
      </c>
      <c r="X21" s="103" t="s">
        <v>191</v>
      </c>
      <c r="Y21" s="85">
        <f t="shared" si="9"/>
        <v>2.6127359999999995E-2</v>
      </c>
      <c r="Z21" s="29" t="str">
        <f t="shared" si="10"/>
        <v>Muy Baja</v>
      </c>
      <c r="AA21" s="27">
        <f t="shared" si="11"/>
        <v>2.6127359999999995E-2</v>
      </c>
      <c r="AB21" s="29" t="str">
        <f t="shared" si="12"/>
        <v>Moderado</v>
      </c>
      <c r="AC21" s="27">
        <f t="shared" si="13"/>
        <v>0.6</v>
      </c>
      <c r="AD21" s="314"/>
      <c r="AE21" s="301"/>
      <c r="AF21" s="314"/>
      <c r="AG21" s="301"/>
      <c r="AH21" s="318"/>
      <c r="AI21" s="303"/>
      <c r="AJ21" s="363"/>
      <c r="AK21" s="282"/>
      <c r="AL21" s="282"/>
      <c r="AM21" s="287"/>
      <c r="AN21" s="287"/>
      <c r="AO21" s="285"/>
      <c r="AP21" s="282"/>
      <c r="AQ21" s="285"/>
      <c r="AR21" s="282"/>
      <c r="AS21" s="72"/>
      <c r="AT21" s="72"/>
      <c r="AU21" s="72"/>
      <c r="AV21" s="72"/>
      <c r="AW21" s="72"/>
      <c r="AX21" s="72"/>
      <c r="AY21" s="72"/>
      <c r="AZ21" s="72"/>
      <c r="BA21" s="72"/>
      <c r="BB21" s="72"/>
      <c r="BC21" s="72"/>
      <c r="BD21" s="72"/>
      <c r="BE21" s="72"/>
      <c r="BF21" s="72"/>
      <c r="BG21" s="72"/>
    </row>
    <row r="22" spans="1:59" ht="51" customHeight="1" x14ac:dyDescent="0.25">
      <c r="A22" s="428"/>
      <c r="B22" s="438"/>
      <c r="C22" s="430"/>
      <c r="D22" s="360"/>
      <c r="E22" s="360"/>
      <c r="F22" s="433"/>
      <c r="G22" s="436"/>
      <c r="H22" s="83" t="s">
        <v>192</v>
      </c>
      <c r="I22" s="359"/>
      <c r="J22" s="314"/>
      <c r="K22" s="323"/>
      <c r="L22" s="314"/>
      <c r="M22" s="323"/>
      <c r="N22" s="344"/>
      <c r="O22" s="26">
        <v>7</v>
      </c>
      <c r="P22" s="84" t="s">
        <v>193</v>
      </c>
      <c r="Q22" s="26" t="str">
        <f t="shared" si="3"/>
        <v>Probabilidad</v>
      </c>
      <c r="R22" s="100" t="s">
        <v>159</v>
      </c>
      <c r="S22" s="100" t="s">
        <v>160</v>
      </c>
      <c r="T22" s="27" t="str">
        <f t="shared" si="14"/>
        <v>40%</v>
      </c>
      <c r="U22" s="100" t="s">
        <v>161</v>
      </c>
      <c r="V22" s="100" t="s">
        <v>162</v>
      </c>
      <c r="W22" s="100" t="s">
        <v>163</v>
      </c>
      <c r="X22" s="104" t="s">
        <v>194</v>
      </c>
      <c r="Y22" s="85">
        <f t="shared" si="9"/>
        <v>1.5676415999999999E-2</v>
      </c>
      <c r="Z22" s="29" t="str">
        <f t="shared" si="10"/>
        <v>Muy Baja</v>
      </c>
      <c r="AA22" s="27">
        <f t="shared" si="11"/>
        <v>1.5676415999999999E-2</v>
      </c>
      <c r="AB22" s="29" t="str">
        <f t="shared" si="12"/>
        <v>Moderado</v>
      </c>
      <c r="AC22" s="27">
        <f t="shared" si="13"/>
        <v>0.6</v>
      </c>
      <c r="AD22" s="314"/>
      <c r="AE22" s="301"/>
      <c r="AF22" s="314"/>
      <c r="AG22" s="301"/>
      <c r="AH22" s="318"/>
      <c r="AI22" s="303"/>
      <c r="AJ22" s="364"/>
      <c r="AK22" s="283"/>
      <c r="AL22" s="283"/>
      <c r="AM22" s="288"/>
      <c r="AN22" s="288"/>
      <c r="AO22" s="285"/>
      <c r="AP22" s="283"/>
      <c r="AQ22" s="285"/>
      <c r="AR22" s="283"/>
      <c r="AS22" s="72"/>
      <c r="AT22" s="72"/>
      <c r="AU22" s="72"/>
      <c r="AV22" s="72"/>
      <c r="AW22" s="72"/>
      <c r="AX22" s="72"/>
      <c r="AY22" s="72"/>
      <c r="AZ22" s="72"/>
      <c r="BA22" s="72"/>
      <c r="BB22" s="72"/>
      <c r="BC22" s="72"/>
      <c r="BD22" s="72"/>
      <c r="BE22" s="72"/>
      <c r="BF22" s="72"/>
      <c r="BG22" s="72"/>
    </row>
    <row r="23" spans="1:59" ht="179.4" x14ac:dyDescent="0.25">
      <c r="A23" s="355" t="s">
        <v>195</v>
      </c>
      <c r="B23" s="360" t="s">
        <v>196</v>
      </c>
      <c r="C23" s="356" t="s">
        <v>197</v>
      </c>
      <c r="D23" s="356" t="s">
        <v>198</v>
      </c>
      <c r="E23" s="357" t="s">
        <v>199</v>
      </c>
      <c r="F23" s="357" t="s">
        <v>200</v>
      </c>
      <c r="G23" s="357" t="s">
        <v>201</v>
      </c>
      <c r="H23" s="88" t="s">
        <v>202</v>
      </c>
      <c r="I23" s="358" t="s">
        <v>203</v>
      </c>
      <c r="J23" s="313" t="s">
        <v>157</v>
      </c>
      <c r="K23" s="323">
        <f>IF(J23="","",IF(J23="Muy Baja",0.2,IF(J23="Baja",0.4,IF(J23="Media",0.6,IF(J23="Alta",0.8,IF(J23="Muy Alta",1,))))))</f>
        <v>0.8</v>
      </c>
      <c r="L23" s="313" t="s">
        <v>15</v>
      </c>
      <c r="M23" s="323">
        <f>IF(L23="","",IF(L23="Leve",0.2,IF(L23="Menor",0.4,IF(L23="Moderado",0.6,IF(L23="Mayor",0.8,IF(L23="Catastrófico",1,))))))</f>
        <v>0.6</v>
      </c>
      <c r="N23" s="344" t="str">
        <f>IF(OR(AND(J23="Muy Baja",L23="Leve"),AND(J23="Muy Baja",L23="Menor"),AND(J23="Baja",L23="Leve")),"Bajo",IF(OR(AND(J23="Muy baja",L23="Moderado"),AND(J23="Baja",L23="Menor"),AND(J23="Baja",L23="Moderado"),AND(J23="Media",L23="Leve"),AND(J23="Media",L23="Menor"),AND(J23="Media",L23="Moderado"),AND(J23="Alta",L23="Leve"),AND(J23="Alta",L23="Menor")),"Moderado",IF(OR(AND(J23="Muy Baja",L23="Mayor"),AND(J23="Baja",L23="Mayor"),AND(J23="Media",L23="Mayor"),AND(J23="Alta",L23="Moderado"),AND(J23="Alta",L23="Mayor"),AND(J23="Muy Alta",L23="Leve"),AND(J23="Muy Alta",L23="Menor"),AND(J23="Muy Alta",L23="Moderado"),AND(J23="Muy Alta",L23="Mayor")),"Alto",IF(OR(AND(J23="Muy Baja",L23="Catastrófico"),AND(J23="Baja",L23="Catastrófico"),AND(J23="Media",L23="Catastrófico"),AND(J23="Alta",L23="Catastrófico"),AND(J23="Muy Alta",L23="Catastrófico")),"Extremo",""))))</f>
        <v>Alto</v>
      </c>
      <c r="O23" s="26">
        <v>1</v>
      </c>
      <c r="P23" s="89" t="s">
        <v>204</v>
      </c>
      <c r="Q23" s="26" t="str">
        <f>IF(OR(R23="Preventivo",R23="Detectivo"),"Probabilidad",IF(R23="Correctivo","Impacto",""))</f>
        <v>Probabilidad</v>
      </c>
      <c r="R23" s="100" t="s">
        <v>159</v>
      </c>
      <c r="S23" s="100" t="s">
        <v>160</v>
      </c>
      <c r="T23" s="27" t="str">
        <f>IF(AND(R23="Preventivo",S23="Automático"),"50%",IF(AND(R23="Preventivo",S23="Manual"),"40%",IF(AND(R23="Detectivo",S23="Automático"),"40%",IF(AND(R23="Detectivo",S23="Manual"),"30%",IF(AND(R23="Correctivo",S23="Automático"),"35%",IF(AND(R23="Correctivo",S23="Manual"),"25%",""))))))</f>
        <v>40%</v>
      </c>
      <c r="U23" s="100" t="s">
        <v>186</v>
      </c>
      <c r="V23" s="100" t="s">
        <v>205</v>
      </c>
      <c r="W23" s="100" t="s">
        <v>163</v>
      </c>
      <c r="X23" s="89" t="s">
        <v>206</v>
      </c>
      <c r="Y23" s="85">
        <f>IFERROR(IF(Q23="Probabilidad",(K23-(+K23*T23)),IF(Q23="Impacto",K23,"")),"")</f>
        <v>0.48</v>
      </c>
      <c r="Z23" s="29" t="str">
        <f t="shared" ref="Z23:Z26" si="15">IFERROR(IF(Y23="","",IF(Y23&lt;=0.2,"Muy Baja",IF(Y23&lt;=0.4,"Baja",IF(Y23&lt;=0.6,"Media",IF(Y23&lt;=0.8,"Alta","Muy Alta"))))),"")</f>
        <v>Media</v>
      </c>
      <c r="AA23" s="27">
        <f>+Y23</f>
        <v>0.48</v>
      </c>
      <c r="AB23" s="29" t="str">
        <f>IFERROR(IF(AC23="","",IF(AC23&lt;=0.2,"Leve",IF(AC23&lt;=0.4,"Menor",IF(AC23&lt;=0.6,"Moderado",IF(AC23&lt;=0.8,"Mayor","Catastrófico"))))),"")</f>
        <v>Moderado</v>
      </c>
      <c r="AC23" s="27">
        <f>IFERROR(IF(Q23="Impacto",(M23-(+M23*T23)),IF(Q23="Probabilidad",M23,"")),"")</f>
        <v>0.6</v>
      </c>
      <c r="AD23" s="313" t="str">
        <f t="shared" ref="AD23" si="16">IFERROR(IF(AE23=0,"",IF(AND(AE23&gt;0,AE23&lt;=0.2),"Muy Baja",IF(AE23&lt;=0.4,"Baja",IF(AE23&lt;=0.6,"Media",IF(AE23&lt;=0.8,"Alta","Muy Alta"))))),"")</f>
        <v>Muy Baja</v>
      </c>
      <c r="AE23" s="300">
        <f>MIN(Y23:Y26)</f>
        <v>0.10367999999999998</v>
      </c>
      <c r="AF23" s="313" t="str">
        <f t="shared" ref="AF23" si="17">IFERROR(IF(AG23=0,"",IF(AND(AG23&gt;0,AG23&lt;=0.2),"Leve",IF(AG23&lt;=0.4,"Menor",IF(AG23&lt;=0.6,"Moderado",IF(AG23&lt;=0.8,"Mayor","Catastrófico"))))),"")</f>
        <v>Moderado</v>
      </c>
      <c r="AG23" s="300">
        <f>MIN(AC23:AC26)</f>
        <v>0.6</v>
      </c>
      <c r="AH23" s="317" t="str">
        <f t="shared" ref="AH23" si="18">IFERROR(IF(OR(AND(AD23="Muy Baja",AF23="Leve"),AND(AD23="Muy Baja",AF23="Menor"),AND(AD23="Baja",AF23="Leve")),"Bajo",IF(OR(AND(AD23="Muy Baja",AF23="Moderado"),AND(AD23="Baja",AF23="Menor"),AND(AD23="Baja",AF23="Moderado"),AND(AD23="Media",AF23="Leve"),AND(AD23="Media",AF23="Menor"),AND(AD23="Media",AF23="Moderado"),AND(AD23="Alta",AF23="Leve"),AND(AD23="Alta",AF23="Menor")),"Moderado",IF(OR(AND(AD23="Muy Baja",AF23="Mayor"),AND(AD23="Baja",AF23="Mayor"),AND(AD23="Media",AF23="Mayor"),AND(AD23="Alta",AF23="Moderado"),AND(AD23="Alta",AF23="Mayor"),AND(AD23="Muy Alta",AF23="Leve"),AND(AD23="Muy Alta",AF23="Menor"),AND(AD23="Muy Alta",AF23="Moderado"),AND(AD23="Muy Alta",AF23="Mayor")),"Alto",IF(OR(AND(AD23="Muy Baja",AF23="Catastrófico"),AND(AD23="Baja",AF23="Catastrófico"),AND(AD23="Media",AF23="Catastrófico"),AND(AD23="Alta",AF23="Catastrófico"),AND(AD23="Muy Alta",AF23="Catastrófico")),"Extremo","")))),"")</f>
        <v>Moderado</v>
      </c>
      <c r="AI23" s="302" t="s">
        <v>165</v>
      </c>
      <c r="AJ23" s="445"/>
      <c r="AK23" s="307" t="s">
        <v>207</v>
      </c>
      <c r="AL23" s="281" t="s">
        <v>208</v>
      </c>
      <c r="AM23" s="293" t="s">
        <v>612</v>
      </c>
      <c r="AN23" s="293" t="s">
        <v>209</v>
      </c>
      <c r="AO23" s="289" t="s">
        <v>169</v>
      </c>
      <c r="AP23" s="286"/>
      <c r="AQ23" s="289" t="s">
        <v>169</v>
      </c>
      <c r="AR23" s="286"/>
      <c r="AS23" s="72"/>
      <c r="AT23" s="72"/>
      <c r="AU23" s="72"/>
      <c r="AV23" s="72"/>
      <c r="AW23" s="72"/>
      <c r="AX23" s="72"/>
      <c r="AY23" s="72"/>
      <c r="AZ23" s="72"/>
      <c r="BA23" s="72"/>
      <c r="BB23" s="72"/>
      <c r="BC23" s="72"/>
      <c r="BD23" s="72"/>
      <c r="BE23" s="72"/>
      <c r="BF23" s="72"/>
      <c r="BG23" s="72"/>
    </row>
    <row r="24" spans="1:59" ht="58.5" customHeight="1" x14ac:dyDescent="0.25">
      <c r="A24" s="355"/>
      <c r="B24" s="356"/>
      <c r="C24" s="356"/>
      <c r="D24" s="356"/>
      <c r="E24" s="357"/>
      <c r="F24" s="357"/>
      <c r="G24" s="357"/>
      <c r="H24" s="102" t="s">
        <v>210</v>
      </c>
      <c r="I24" s="359"/>
      <c r="J24" s="314"/>
      <c r="K24" s="323"/>
      <c r="L24" s="314"/>
      <c r="M24" s="323"/>
      <c r="N24" s="344"/>
      <c r="O24" s="26" t="s">
        <v>211</v>
      </c>
      <c r="P24" s="83" t="s">
        <v>212</v>
      </c>
      <c r="Q24" s="26" t="str">
        <f>IF(OR(R24="Preventivo",R24="Detectivo"),"Probabilidad",IF(R24="Correctivo","Impacto",""))</f>
        <v>Probabilidad</v>
      </c>
      <c r="R24" s="100" t="s">
        <v>159</v>
      </c>
      <c r="S24" s="100" t="s">
        <v>160</v>
      </c>
      <c r="T24" s="27" t="str">
        <f t="shared" ref="T24:T26" si="19">IF(AND(R24="Preventivo",S24="Automático"),"50%",IF(AND(R24="Preventivo",S24="Manual"),"40%",IF(AND(R24="Detectivo",S24="Automático"),"40%",IF(AND(R24="Detectivo",S24="Manual"),"30%",IF(AND(R24="Correctivo",S24="Automático"),"35%",IF(AND(R24="Correctivo",S24="Manual"),"25%",""))))))</f>
        <v>40%</v>
      </c>
      <c r="U24" s="100" t="s">
        <v>161</v>
      </c>
      <c r="V24" s="100" t="s">
        <v>162</v>
      </c>
      <c r="W24" s="100" t="s">
        <v>163</v>
      </c>
      <c r="X24" s="98" t="s">
        <v>213</v>
      </c>
      <c r="Y24" s="85">
        <f>IFERROR(IF(AND(Q23="Probabilidad",Q24="Probabilidad"),(AA23-(+AA23*T24)),IF(Q24="Probabilidad",(K23-(+K23*T24)),IF(Q24="Impacto",AA23,""))),"")</f>
        <v>0.28799999999999998</v>
      </c>
      <c r="Z24" s="29" t="str">
        <f t="shared" si="15"/>
        <v>Baja</v>
      </c>
      <c r="AA24" s="27">
        <f t="shared" ref="AA24:AA26" si="20">+Y24</f>
        <v>0.28799999999999998</v>
      </c>
      <c r="AB24" s="29" t="str">
        <f t="shared" ref="AB24:AB26" si="21">IFERROR(IF(AC24="","",IF(AC24&lt;=0.2,"Leve",IF(AC24&lt;=0.4,"Menor",IF(AC24&lt;=0.6,"Moderado",IF(AC24&lt;=0.8,"Mayor","Catastrófico"))))),"")</f>
        <v>Moderado</v>
      </c>
      <c r="AC24" s="27">
        <f>IFERROR(IF(AND(Q23="Impacto",Q24="Impacto"),(AC23-(+AC23*T24)),IF(Q24="Impacto",($M$15-(+$M$15*T24)),IF(Q24="Probabilidad",AC23,""))),"")</f>
        <v>0.6</v>
      </c>
      <c r="AD24" s="314"/>
      <c r="AE24" s="301"/>
      <c r="AF24" s="314"/>
      <c r="AG24" s="301"/>
      <c r="AH24" s="318"/>
      <c r="AI24" s="303"/>
      <c r="AJ24" s="446"/>
      <c r="AK24" s="308"/>
      <c r="AL24" s="282"/>
      <c r="AM24" s="294"/>
      <c r="AN24" s="294"/>
      <c r="AO24" s="290"/>
      <c r="AP24" s="287"/>
      <c r="AQ24" s="290"/>
      <c r="AR24" s="287"/>
      <c r="AS24" s="72"/>
      <c r="AT24" s="72"/>
      <c r="AU24" s="72"/>
      <c r="AV24" s="72"/>
      <c r="AW24" s="72"/>
      <c r="AX24" s="72"/>
      <c r="AY24" s="72"/>
      <c r="AZ24" s="72"/>
      <c r="BA24" s="72"/>
      <c r="BB24" s="72"/>
      <c r="BC24" s="72"/>
      <c r="BD24" s="72"/>
      <c r="BE24" s="72"/>
      <c r="BF24" s="72"/>
      <c r="BG24" s="72"/>
    </row>
    <row r="25" spans="1:59" ht="73.5" customHeight="1" x14ac:dyDescent="0.25">
      <c r="A25" s="355"/>
      <c r="B25" s="356"/>
      <c r="C25" s="356"/>
      <c r="D25" s="356"/>
      <c r="E25" s="357"/>
      <c r="F25" s="357"/>
      <c r="G25" s="357"/>
      <c r="H25" s="102" t="s">
        <v>214</v>
      </c>
      <c r="I25" s="359"/>
      <c r="J25" s="314"/>
      <c r="K25" s="323"/>
      <c r="L25" s="314"/>
      <c r="M25" s="323"/>
      <c r="N25" s="344"/>
      <c r="O25" s="26" t="s">
        <v>215</v>
      </c>
      <c r="P25" s="83" t="s">
        <v>216</v>
      </c>
      <c r="Q25" s="26" t="str">
        <f>IF(OR(R25="Preventivo",R25="Detectivo"),"Probabilidad",IF(R25="Correctivo","Impacto",""))</f>
        <v>Probabilidad</v>
      </c>
      <c r="R25" s="100" t="s">
        <v>159</v>
      </c>
      <c r="S25" s="100" t="s">
        <v>160</v>
      </c>
      <c r="T25" s="27" t="str">
        <f t="shared" si="19"/>
        <v>40%</v>
      </c>
      <c r="U25" s="100" t="s">
        <v>161</v>
      </c>
      <c r="V25" s="100" t="s">
        <v>205</v>
      </c>
      <c r="W25" s="100" t="s">
        <v>163</v>
      </c>
      <c r="X25" s="98" t="s">
        <v>217</v>
      </c>
      <c r="Y25" s="85">
        <f>IFERROR(IF(AND(Q24="Probabilidad",Q25="Probabilidad"),(AA24-(+AA24*T25)),IF(AND(Q24="Impacto",Q25="Probabilidad"),(AA23-(+AA23*T25)),IF(Q25="Impacto",AA24,""))),"")</f>
        <v>0.17279999999999998</v>
      </c>
      <c r="Z25" s="29" t="str">
        <f t="shared" si="15"/>
        <v>Muy Baja</v>
      </c>
      <c r="AA25" s="27">
        <f t="shared" si="20"/>
        <v>0.17279999999999998</v>
      </c>
      <c r="AB25" s="29" t="str">
        <f t="shared" si="21"/>
        <v>Moderado</v>
      </c>
      <c r="AC25" s="27">
        <f>IFERROR(IF(AND(Q24="Impacto",Q25="Impacto"),(AC24-(+AC24*T25)),IF(AND(Q24="Probabilidad",Q25="Impacto"),(AC23-(+AC23*T25)),IF(Q25="Probabilidad",AC24,""))),"")</f>
        <v>0.6</v>
      </c>
      <c r="AD25" s="314"/>
      <c r="AE25" s="301"/>
      <c r="AF25" s="314"/>
      <c r="AG25" s="301"/>
      <c r="AH25" s="318"/>
      <c r="AI25" s="303"/>
      <c r="AJ25" s="446"/>
      <c r="AK25" s="308"/>
      <c r="AL25" s="282"/>
      <c r="AM25" s="294"/>
      <c r="AN25" s="294"/>
      <c r="AO25" s="290"/>
      <c r="AP25" s="287"/>
      <c r="AQ25" s="290"/>
      <c r="AR25" s="287"/>
      <c r="AS25" s="72"/>
      <c r="AT25" s="72"/>
      <c r="AU25" s="72"/>
      <c r="AV25" s="72"/>
      <c r="AW25" s="72"/>
      <c r="AX25" s="72"/>
      <c r="AY25" s="72"/>
      <c r="AZ25" s="72"/>
      <c r="BA25" s="72"/>
      <c r="BB25" s="72"/>
      <c r="BC25" s="72"/>
      <c r="BD25" s="72"/>
      <c r="BE25" s="72"/>
      <c r="BF25" s="72"/>
      <c r="BG25" s="72"/>
    </row>
    <row r="26" spans="1:59" ht="279" customHeight="1" x14ac:dyDescent="0.25">
      <c r="A26" s="355"/>
      <c r="B26" s="356"/>
      <c r="C26" s="356"/>
      <c r="D26" s="356"/>
      <c r="E26" s="357"/>
      <c r="F26" s="357"/>
      <c r="G26" s="357"/>
      <c r="H26" s="102" t="s">
        <v>218</v>
      </c>
      <c r="I26" s="359"/>
      <c r="J26" s="314"/>
      <c r="K26" s="323"/>
      <c r="L26" s="314"/>
      <c r="M26" s="323"/>
      <c r="N26" s="344"/>
      <c r="O26" s="26">
        <v>2</v>
      </c>
      <c r="P26" s="83" t="s">
        <v>219</v>
      </c>
      <c r="Q26" s="26" t="str">
        <f t="shared" ref="Q26" si="22">IF(OR(R26="Preventivo",R26="Detectivo"),"Probabilidad",IF(R26="Correctivo","Impacto",""))</f>
        <v>Probabilidad</v>
      </c>
      <c r="R26" s="100" t="s">
        <v>159</v>
      </c>
      <c r="S26" s="100" t="s">
        <v>160</v>
      </c>
      <c r="T26" s="27" t="str">
        <f t="shared" si="19"/>
        <v>40%</v>
      </c>
      <c r="U26" s="100" t="s">
        <v>161</v>
      </c>
      <c r="V26" s="100" t="s">
        <v>205</v>
      </c>
      <c r="W26" s="100" t="s">
        <v>163</v>
      </c>
      <c r="X26" s="84" t="s">
        <v>220</v>
      </c>
      <c r="Y26" s="85">
        <f>IFERROR(IF(AND(Q25="Probabilidad",Q26="Probabilidad"),(AA25-(+AA25*T26)),IF(AND(Q25="Impacto",Q26="Probabilidad"),(AA24-(+AA24*T26)),IF(Q26="Impacto",AA25,""))),"")</f>
        <v>0.10367999999999998</v>
      </c>
      <c r="Z26" s="29" t="str">
        <f t="shared" si="15"/>
        <v>Muy Baja</v>
      </c>
      <c r="AA26" s="27">
        <f t="shared" si="20"/>
        <v>0.10367999999999998</v>
      </c>
      <c r="AB26" s="29" t="str">
        <f t="shared" si="21"/>
        <v>Moderado</v>
      </c>
      <c r="AC26" s="27">
        <f>IFERROR(IF(AND(Q25="Impacto",Q26="Impacto"),(AC25-(+AC25*T26)),IF(AND(Q25="Probabilidad",Q26="Impacto"),(AC24-(+AC24*T26)),IF(Q26="Probabilidad",AC25,""))),"")</f>
        <v>0.6</v>
      </c>
      <c r="AD26" s="314"/>
      <c r="AE26" s="301"/>
      <c r="AF26" s="314"/>
      <c r="AG26" s="301"/>
      <c r="AH26" s="318"/>
      <c r="AI26" s="303"/>
      <c r="AJ26" s="447"/>
      <c r="AK26" s="309"/>
      <c r="AL26" s="283"/>
      <c r="AM26" s="295"/>
      <c r="AN26" s="295"/>
      <c r="AO26" s="290"/>
      <c r="AP26" s="288"/>
      <c r="AQ26" s="290"/>
      <c r="AR26" s="288"/>
      <c r="AS26" s="72"/>
      <c r="AT26" s="72"/>
      <c r="AU26" s="72"/>
      <c r="AV26" s="72"/>
      <c r="AW26" s="72"/>
      <c r="AX26" s="72"/>
      <c r="AY26" s="72"/>
      <c r="AZ26" s="72"/>
      <c r="BA26" s="72"/>
      <c r="BB26" s="72"/>
      <c r="BC26" s="72"/>
      <c r="BD26" s="72"/>
      <c r="BE26" s="72"/>
      <c r="BF26" s="72"/>
      <c r="BG26" s="72"/>
    </row>
    <row r="27" spans="1:59" ht="82.5" customHeight="1" x14ac:dyDescent="0.25">
      <c r="A27" s="355" t="s">
        <v>221</v>
      </c>
      <c r="B27" s="357" t="s">
        <v>196</v>
      </c>
      <c r="C27" s="356" t="s">
        <v>197</v>
      </c>
      <c r="D27" s="356" t="s">
        <v>222</v>
      </c>
      <c r="E27" s="356" t="s">
        <v>223</v>
      </c>
      <c r="F27" s="356" t="s">
        <v>224</v>
      </c>
      <c r="G27" s="357" t="s">
        <v>225</v>
      </c>
      <c r="H27" s="90" t="s">
        <v>226</v>
      </c>
      <c r="I27" s="358" t="s">
        <v>203</v>
      </c>
      <c r="J27" s="313" t="s">
        <v>157</v>
      </c>
      <c r="K27" s="323">
        <f>IF(J27="","",IF(J27="Muy Baja",0.2,IF(J27="Baja",0.4,IF(J27="Media",0.6,IF(J27="Alta",0.8,IF(J27="Muy Alta",1,))))))</f>
        <v>0.8</v>
      </c>
      <c r="L27" s="313" t="s">
        <v>15</v>
      </c>
      <c r="M27" s="323">
        <f>IF(L27="","",IF(L27="Leve",0.2,IF(L27="Menor",0.4,IF(L27="Moderado",0.6,IF(L27="Mayor",0.8,IF(L27="Catastrófico",1,))))))</f>
        <v>0.6</v>
      </c>
      <c r="N27" s="344" t="str">
        <f>IF(OR(AND(J27="Muy Baja",L27="Leve"),AND(J27="Muy Baja",L27="Menor"),AND(J27="Baja",L27="Leve")),"Bajo",IF(OR(AND(J27="Muy baja",L27="Moderado"),AND(J27="Baja",L27="Menor"),AND(J27="Baja",L27="Moderado"),AND(J27="Media",L27="Leve"),AND(J27="Media",L27="Menor"),AND(J27="Media",L27="Moderado"),AND(J27="Alta",L27="Leve"),AND(J27="Alta",L27="Menor")),"Moderado",IF(OR(AND(J27="Muy Baja",L27="Mayor"),AND(J27="Baja",L27="Mayor"),AND(J27="Media",L27="Mayor"),AND(J27="Alta",L27="Moderado"),AND(J27="Alta",L27="Mayor"),AND(J27="Muy Alta",L27="Leve"),AND(J27="Muy Alta",L27="Menor"),AND(J27="Muy Alta",L27="Moderado"),AND(J27="Muy Alta",L27="Mayor")),"Alto",IF(OR(AND(J27="Muy Baja",L27="Catastrófico"),AND(J27="Baja",L27="Catastrófico"),AND(J27="Media",L27="Catastrófico"),AND(J27="Alta",L27="Catastrófico"),AND(J27="Muy Alta",L27="Catastrófico")),"Extremo",""))))</f>
        <v>Alto</v>
      </c>
      <c r="O27" s="26">
        <v>1</v>
      </c>
      <c r="P27" s="104" t="s">
        <v>227</v>
      </c>
      <c r="Q27" s="26" t="str">
        <f>IF(OR(R27="Preventivo",R27="Detectivo"),"Probabilidad",IF(R27="Correctivo","Impacto",""))</f>
        <v>Impacto</v>
      </c>
      <c r="R27" s="100" t="s">
        <v>228</v>
      </c>
      <c r="S27" s="100" t="s">
        <v>160</v>
      </c>
      <c r="T27" s="27" t="str">
        <f>IF(AND(R27="Preventivo",S27="Automático"),"50%",IF(AND(R27="Preventivo",S27="Manual"),"40%",IF(AND(R27="Detectivo",S27="Automático"),"40%",IF(AND(R27="Detectivo",S27="Manual"),"30%",IF(AND(R27="Correctivo",S27="Automático"),"35%",IF(AND(R27="Correctivo",S27="Manual"),"25%",""))))))</f>
        <v>25%</v>
      </c>
      <c r="U27" s="100" t="s">
        <v>161</v>
      </c>
      <c r="V27" s="100" t="s">
        <v>162</v>
      </c>
      <c r="W27" s="100" t="s">
        <v>163</v>
      </c>
      <c r="X27" s="99" t="s">
        <v>229</v>
      </c>
      <c r="Y27" s="85">
        <f>IFERROR(IF(Q27="Probabilidad",(K27-(+K27*T27)),IF(Q27="Impacto",K27,"")),"")</f>
        <v>0.8</v>
      </c>
      <c r="Z27" s="29" t="str">
        <f t="shared" ref="Z27:Z38" si="23">IFERROR(IF(Y27="","",IF(Y27&lt;=0.2,"Muy Baja",IF(Y27&lt;=0.4,"Baja",IF(Y27&lt;=0.6,"Media",IF(Y27&lt;=0.8,"Alta","Muy Alta"))))),"")</f>
        <v>Alta</v>
      </c>
      <c r="AA27" s="27">
        <f>+Y27</f>
        <v>0.8</v>
      </c>
      <c r="AB27" s="29" t="str">
        <f>IFERROR(IF(AC27="","",IF(AC27&lt;=0.2,"Leve",IF(AC27&lt;=0.4,"Menor",IF(AC27&lt;=0.6,"Moderado",IF(AC27&lt;=0.8,"Mayor","Catastrófico"))))),"")</f>
        <v>Moderado</v>
      </c>
      <c r="AC27" s="27">
        <f>IFERROR(IF(Q27="Impacto",(M27-(+M27*T27)),IF(Q27="Probabilidad",M27,"")),"")</f>
        <v>0.44999999999999996</v>
      </c>
      <c r="AD27" s="313" t="str">
        <f t="shared" ref="AD27" si="24">IFERROR(IF(AE27=0,"",IF(AND(AE27&gt;0,AE27&lt;=0.2),"Muy Baja",IF(AE27&lt;=0.4,"Baja",IF(AE27&lt;=0.6,"Media",IF(AE27&lt;=0.8,"Alta","Muy Alta"))))),"")</f>
        <v>Muy Baja</v>
      </c>
      <c r="AE27" s="300">
        <f t="shared" ref="AE27" si="25">MIN(Y27:Y32)</f>
        <v>8.4671999999999997E-2</v>
      </c>
      <c r="AF27" s="313" t="str">
        <f t="shared" ref="AF27" si="26">IFERROR(IF(AG27=0,"",IF(AND(AG27&gt;0,AG27&lt;=0.2),"Leve",IF(AG27&lt;=0.4,"Menor",IF(AG27&lt;=0.6,"Moderado",IF(AG27&lt;=0.8,"Mayor","Catastrófico"))))),"")</f>
        <v>Moderado</v>
      </c>
      <c r="AG27" s="300">
        <f t="shared" ref="AG27" si="27">MIN(AC27:AC32)</f>
        <v>0.44999999999999996</v>
      </c>
      <c r="AH27" s="317" t="str">
        <f t="shared" ref="AH27" si="28">IFERROR(IF(OR(AND(AD27="Muy Baja",AF27="Leve"),AND(AD27="Muy Baja",AF27="Menor"),AND(AD27="Baja",AF27="Leve")),"Bajo",IF(OR(AND(AD27="Muy Baja",AF27="Moderado"),AND(AD27="Baja",AF27="Menor"),AND(AD27="Baja",AF27="Moderado"),AND(AD27="Media",AF27="Leve"),AND(AD27="Media",AF27="Menor"),AND(AD27="Media",AF27="Moderado"),AND(AD27="Alta",AF27="Leve"),AND(AD27="Alta",AF27="Menor")),"Moderado",IF(OR(AND(AD27="Muy Baja",AF27="Mayor"),AND(AD27="Baja",AF27="Mayor"),AND(AD27="Media",AF27="Mayor"),AND(AD27="Alta",AF27="Moderado"),AND(AD27="Alta",AF27="Mayor"),AND(AD27="Muy Alta",AF27="Leve"),AND(AD27="Muy Alta",AF27="Menor"),AND(AD27="Muy Alta",AF27="Moderado"),AND(AD27="Muy Alta",AF27="Mayor")),"Alto",IF(OR(AND(AD27="Muy Baja",AF27="Catastrófico"),AND(AD27="Baja",AF27="Catastrófico"),AND(AD27="Media",AF27="Catastrófico"),AND(AD27="Alta",AF27="Catastrófico"),AND(AD27="Muy Alta",AF27="Catastrófico")),"Extremo","")))),"")</f>
        <v>Moderado</v>
      </c>
      <c r="AI27" s="302"/>
      <c r="AJ27" s="362"/>
      <c r="AK27" s="293" t="s">
        <v>230</v>
      </c>
      <c r="AL27" s="293" t="s">
        <v>231</v>
      </c>
      <c r="AM27" s="293" t="s">
        <v>613</v>
      </c>
      <c r="AN27" s="291" t="s">
        <v>610</v>
      </c>
      <c r="AO27" s="284" t="s">
        <v>169</v>
      </c>
      <c r="AP27" s="291"/>
      <c r="AQ27" s="284" t="s">
        <v>169</v>
      </c>
      <c r="AR27" s="291"/>
      <c r="AS27" s="72"/>
      <c r="AT27" s="72"/>
      <c r="AU27" s="72"/>
      <c r="AV27" s="72"/>
      <c r="AW27" s="72"/>
      <c r="AX27" s="72"/>
      <c r="AY27" s="72"/>
      <c r="AZ27" s="72"/>
      <c r="BA27" s="72"/>
      <c r="BB27" s="72"/>
      <c r="BC27" s="72"/>
      <c r="BD27" s="72"/>
      <c r="BE27" s="72"/>
      <c r="BF27" s="72"/>
      <c r="BG27" s="72"/>
    </row>
    <row r="28" spans="1:59" ht="83.25" customHeight="1" x14ac:dyDescent="0.25">
      <c r="A28" s="355"/>
      <c r="B28" s="357"/>
      <c r="C28" s="356"/>
      <c r="D28" s="356"/>
      <c r="E28" s="356"/>
      <c r="F28" s="356"/>
      <c r="G28" s="357"/>
      <c r="H28" s="439" t="s">
        <v>232</v>
      </c>
      <c r="I28" s="359"/>
      <c r="J28" s="314"/>
      <c r="K28" s="323"/>
      <c r="L28" s="314"/>
      <c r="M28" s="323"/>
      <c r="N28" s="344"/>
      <c r="O28" s="26" t="s">
        <v>233</v>
      </c>
      <c r="P28" s="104" t="s">
        <v>234</v>
      </c>
      <c r="Q28" s="26" t="str">
        <f>IF(OR(R28="Preventivo",R28="Detectivo"),"Probabilidad",IF(R28="Correctivo","Impacto",""))</f>
        <v>Probabilidad</v>
      </c>
      <c r="R28" s="100" t="s">
        <v>159</v>
      </c>
      <c r="S28" s="100" t="s">
        <v>160</v>
      </c>
      <c r="T28" s="27" t="str">
        <f t="shared" ref="T28:T32" si="29">IF(AND(R28="Preventivo",S28="Automático"),"50%",IF(AND(R28="Preventivo",S28="Manual"),"40%",IF(AND(R28="Detectivo",S28="Automático"),"40%",IF(AND(R28="Detectivo",S28="Manual"),"30%",IF(AND(R28="Correctivo",S28="Automático"),"35%",IF(AND(R28="Correctivo",S28="Manual"),"25%",""))))))</f>
        <v>40%</v>
      </c>
      <c r="U28" s="100" t="s">
        <v>161</v>
      </c>
      <c r="V28" s="100" t="s">
        <v>205</v>
      </c>
      <c r="W28" s="100" t="s">
        <v>163</v>
      </c>
      <c r="X28" s="83" t="s">
        <v>235</v>
      </c>
      <c r="Y28" s="85">
        <f>IFERROR(IF(AND(Q27="Probabilidad",Q28="Probabilidad"),(AA27-(+AA27*T28)),IF(Q28="Probabilidad",(K27-(+K27*T28)),IF(Q28="Impacto",AA27,""))),"")</f>
        <v>0.48</v>
      </c>
      <c r="Z28" s="29" t="str">
        <f t="shared" si="23"/>
        <v>Media</v>
      </c>
      <c r="AA28" s="27">
        <f t="shared" ref="AA28:AA32" si="30">+Y28</f>
        <v>0.48</v>
      </c>
      <c r="AB28" s="29" t="str">
        <f t="shared" ref="AB28:AB32" si="31">IFERROR(IF(AC28="","",IF(AC28&lt;=0.2,"Leve",IF(AC28&lt;=0.4,"Menor",IF(AC28&lt;=0.6,"Moderado",IF(AC28&lt;=0.8,"Mayor","Catastrófico"))))),"")</f>
        <v>Moderado</v>
      </c>
      <c r="AC28" s="27">
        <f>IFERROR(IF(AND(Q27="Impacto",Q28="Impacto"),(AC27-(+AC27*T28)),IF(Q28="Impacto",($M$15-(+$M$15*T28)),IF(Q28="Probabilidad",AC27,""))),"")</f>
        <v>0.44999999999999996</v>
      </c>
      <c r="AD28" s="314"/>
      <c r="AE28" s="301"/>
      <c r="AF28" s="314"/>
      <c r="AG28" s="301"/>
      <c r="AH28" s="318"/>
      <c r="AI28" s="303"/>
      <c r="AJ28" s="363"/>
      <c r="AK28" s="294"/>
      <c r="AL28" s="294"/>
      <c r="AM28" s="294"/>
      <c r="AN28" s="292"/>
      <c r="AO28" s="285"/>
      <c r="AP28" s="292"/>
      <c r="AQ28" s="285"/>
      <c r="AR28" s="292"/>
      <c r="AS28" s="72"/>
      <c r="AT28" s="72"/>
      <c r="AU28" s="72"/>
      <c r="AV28" s="72"/>
      <c r="AW28" s="72"/>
      <c r="AX28" s="72"/>
      <c r="AY28" s="72"/>
      <c r="AZ28" s="72"/>
      <c r="BA28" s="72"/>
      <c r="BB28" s="72"/>
      <c r="BC28" s="72"/>
      <c r="BD28" s="72"/>
      <c r="BE28" s="72"/>
      <c r="BF28" s="72"/>
      <c r="BG28" s="72"/>
    </row>
    <row r="29" spans="1:59" ht="83.25" customHeight="1" x14ac:dyDescent="0.25">
      <c r="A29" s="355"/>
      <c r="B29" s="357"/>
      <c r="C29" s="356"/>
      <c r="D29" s="356"/>
      <c r="E29" s="356"/>
      <c r="F29" s="356"/>
      <c r="G29" s="357"/>
      <c r="H29" s="439"/>
      <c r="I29" s="359"/>
      <c r="J29" s="314"/>
      <c r="K29" s="323"/>
      <c r="L29" s="314"/>
      <c r="M29" s="323"/>
      <c r="N29" s="344"/>
      <c r="O29" s="26" t="s">
        <v>236</v>
      </c>
      <c r="P29" s="91" t="s">
        <v>237</v>
      </c>
      <c r="Q29" s="26" t="str">
        <f>IF(OR(R29="Preventivo",R29="Detectivo"),"Probabilidad",IF(R29="Correctivo","Impacto",""))</f>
        <v>Probabilidad</v>
      </c>
      <c r="R29" s="100" t="s">
        <v>159</v>
      </c>
      <c r="S29" s="100" t="s">
        <v>160</v>
      </c>
      <c r="T29" s="27" t="str">
        <f t="shared" ref="T29" si="32">IF(AND(R29="Preventivo",S29="Automático"),"50%",IF(AND(R29="Preventivo",S29="Manual"),"40%",IF(AND(R29="Detectivo",S29="Automático"),"40%",IF(AND(R29="Detectivo",S29="Manual"),"30%",IF(AND(R29="Correctivo",S29="Automático"),"35%",IF(AND(R29="Correctivo",S29="Manual"),"25%",""))))))</f>
        <v>40%</v>
      </c>
      <c r="U29" s="100" t="s">
        <v>161</v>
      </c>
      <c r="V29" s="100" t="s">
        <v>205</v>
      </c>
      <c r="W29" s="100" t="s">
        <v>163</v>
      </c>
      <c r="X29" s="83" t="s">
        <v>238</v>
      </c>
      <c r="Y29" s="85">
        <f>IFERROR(IF(AND(Q28="Probabilidad",Q29="Probabilidad"),(AA28-(+AA28*T29)),IF(AND(Q28="Impacto",Q29="Probabilidad"),(AA27-(+AA27*T29)),IF(Q29="Impacto",AA28,""))),"")</f>
        <v>0.28799999999999998</v>
      </c>
      <c r="Z29" s="29" t="str">
        <f t="shared" si="23"/>
        <v>Baja</v>
      </c>
      <c r="AA29" s="27">
        <f t="shared" si="30"/>
        <v>0.28799999999999998</v>
      </c>
      <c r="AB29" s="29" t="str">
        <f t="shared" si="31"/>
        <v>Moderado</v>
      </c>
      <c r="AC29" s="27">
        <f>IFERROR(IF(AND(Q28="Impacto",Q29="Impacto"),(AC28-(+AC28*T29)),IF(AND(Q28="Probabilidad",Q29="Impacto"),(AC27-(+AC27*T29)),IF(Q29="Probabilidad",AC28,""))),"")</f>
        <v>0.44999999999999996</v>
      </c>
      <c r="AD29" s="314"/>
      <c r="AE29" s="301"/>
      <c r="AF29" s="314"/>
      <c r="AG29" s="301"/>
      <c r="AH29" s="318"/>
      <c r="AI29" s="303"/>
      <c r="AJ29" s="363"/>
      <c r="AK29" s="294"/>
      <c r="AL29" s="294"/>
      <c r="AM29" s="294"/>
      <c r="AN29" s="292"/>
      <c r="AO29" s="285"/>
      <c r="AP29" s="292"/>
      <c r="AQ29" s="285"/>
      <c r="AR29" s="292"/>
      <c r="AS29" s="72"/>
      <c r="AT29" s="72"/>
      <c r="AU29" s="72"/>
      <c r="AV29" s="72"/>
      <c r="AW29" s="72"/>
      <c r="AX29" s="72"/>
      <c r="AY29" s="72"/>
      <c r="AZ29" s="72"/>
      <c r="BA29" s="72"/>
      <c r="BB29" s="72"/>
      <c r="BC29" s="72"/>
      <c r="BD29" s="72"/>
      <c r="BE29" s="72"/>
      <c r="BF29" s="72"/>
      <c r="BG29" s="72"/>
    </row>
    <row r="30" spans="1:59" ht="83.25" customHeight="1" x14ac:dyDescent="0.25">
      <c r="A30" s="355"/>
      <c r="B30" s="357"/>
      <c r="C30" s="356"/>
      <c r="D30" s="356"/>
      <c r="E30" s="356"/>
      <c r="F30" s="356"/>
      <c r="G30" s="357"/>
      <c r="H30" s="439"/>
      <c r="I30" s="359"/>
      <c r="J30" s="314"/>
      <c r="K30" s="323"/>
      <c r="L30" s="314"/>
      <c r="M30" s="323"/>
      <c r="N30" s="344"/>
      <c r="O30" s="26" t="s">
        <v>239</v>
      </c>
      <c r="P30" s="104" t="s">
        <v>240</v>
      </c>
      <c r="Q30" s="26" t="str">
        <f t="shared" ref="Q30:Q32" si="33">IF(OR(R30="Preventivo",R30="Detectivo"),"Probabilidad",IF(R30="Correctivo","Impacto",""))</f>
        <v>Probabilidad</v>
      </c>
      <c r="R30" s="100" t="s">
        <v>190</v>
      </c>
      <c r="S30" s="100" t="s">
        <v>160</v>
      </c>
      <c r="T30" s="27" t="str">
        <f t="shared" si="29"/>
        <v>30%</v>
      </c>
      <c r="U30" s="100" t="s">
        <v>161</v>
      </c>
      <c r="V30" s="100" t="s">
        <v>162</v>
      </c>
      <c r="W30" s="100" t="s">
        <v>163</v>
      </c>
      <c r="X30" s="83" t="s">
        <v>241</v>
      </c>
      <c r="Y30" s="85">
        <f>IFERROR(IF(AND(Q29="Probabilidad",Q30="Probabilidad"),(AA29-(+AA29*T30)),IF(AND(Q29="Impacto",Q30="Probabilidad"),(AA28-(+AA28*T30)),IF(Q30="Impacto",AA29,""))),"")</f>
        <v>0.2016</v>
      </c>
      <c r="Z30" s="29" t="str">
        <f t="shared" si="23"/>
        <v>Baja</v>
      </c>
      <c r="AA30" s="27">
        <f t="shared" si="30"/>
        <v>0.2016</v>
      </c>
      <c r="AB30" s="29" t="str">
        <f t="shared" si="31"/>
        <v>Moderado</v>
      </c>
      <c r="AC30" s="27">
        <f>IFERROR(IF(AND(Q29="Impacto",Q30="Impacto"),(AC29-(+AC29*T30)),IF(AND(Q29="Probabilidad",Q30="Impacto"),(AC28-(+AC28*T30)),IF(Q30="Probabilidad",AC29,""))),"")</f>
        <v>0.44999999999999996</v>
      </c>
      <c r="AD30" s="314"/>
      <c r="AE30" s="301"/>
      <c r="AF30" s="314"/>
      <c r="AG30" s="301"/>
      <c r="AH30" s="318"/>
      <c r="AI30" s="303"/>
      <c r="AJ30" s="363"/>
      <c r="AK30" s="294"/>
      <c r="AL30" s="294"/>
      <c r="AM30" s="294"/>
      <c r="AN30" s="292"/>
      <c r="AO30" s="285"/>
      <c r="AP30" s="292"/>
      <c r="AQ30" s="285"/>
      <c r="AR30" s="292"/>
      <c r="AS30" s="72"/>
      <c r="AT30" s="72"/>
      <c r="AU30" s="72"/>
      <c r="AV30" s="72"/>
      <c r="AW30" s="72"/>
      <c r="AX30" s="72"/>
      <c r="AY30" s="72"/>
      <c r="AZ30" s="72"/>
      <c r="BA30" s="72"/>
      <c r="BB30" s="72"/>
      <c r="BC30" s="72"/>
      <c r="BD30" s="72"/>
      <c r="BE30" s="72"/>
      <c r="BF30" s="72"/>
      <c r="BG30" s="72"/>
    </row>
    <row r="31" spans="1:59" ht="83.25" customHeight="1" x14ac:dyDescent="0.25">
      <c r="A31" s="355"/>
      <c r="B31" s="357"/>
      <c r="C31" s="356"/>
      <c r="D31" s="356"/>
      <c r="E31" s="356"/>
      <c r="F31" s="356"/>
      <c r="G31" s="357"/>
      <c r="H31" s="439"/>
      <c r="I31" s="359"/>
      <c r="J31" s="314"/>
      <c r="K31" s="323"/>
      <c r="L31" s="314"/>
      <c r="M31" s="323"/>
      <c r="N31" s="344"/>
      <c r="O31" s="26" t="s">
        <v>242</v>
      </c>
      <c r="P31" s="104" t="s">
        <v>243</v>
      </c>
      <c r="Q31" s="26" t="str">
        <f t="shared" si="33"/>
        <v>Probabilidad</v>
      </c>
      <c r="R31" s="100" t="s">
        <v>190</v>
      </c>
      <c r="S31" s="100" t="s">
        <v>160</v>
      </c>
      <c r="T31" s="27" t="str">
        <f t="shared" si="29"/>
        <v>30%</v>
      </c>
      <c r="U31" s="100" t="s">
        <v>161</v>
      </c>
      <c r="V31" s="100" t="s">
        <v>162</v>
      </c>
      <c r="W31" s="100" t="s">
        <v>163</v>
      </c>
      <c r="X31" s="83" t="s">
        <v>241</v>
      </c>
      <c r="Y31" s="85">
        <f>IFERROR(IF(AND(Q30="Probabilidad",Q31="Probabilidad"),(AA30-(+AA30*T31)),IF(AND(Q30="Impacto",Q31="Probabilidad"),(AA29-(+AA29*T31)),IF(Q31="Impacto",AA30,""))),"")</f>
        <v>0.14112</v>
      </c>
      <c r="Z31" s="29" t="str">
        <f t="shared" si="23"/>
        <v>Muy Baja</v>
      </c>
      <c r="AA31" s="27">
        <f t="shared" si="30"/>
        <v>0.14112</v>
      </c>
      <c r="AB31" s="29" t="str">
        <f t="shared" si="31"/>
        <v>Moderado</v>
      </c>
      <c r="AC31" s="27">
        <f>IFERROR(IF(AND(Q30="Impacto",Q31="Impacto"),(AC30-(+AC30*T31)),IF(AND(Q30="Probabilidad",Q31="Impacto"),(AC29-(+AC29*T31)),IF(Q31="Probabilidad",AC30,""))),"")</f>
        <v>0.44999999999999996</v>
      </c>
      <c r="AD31" s="314"/>
      <c r="AE31" s="301"/>
      <c r="AF31" s="314"/>
      <c r="AG31" s="301"/>
      <c r="AH31" s="318"/>
      <c r="AI31" s="303"/>
      <c r="AJ31" s="363"/>
      <c r="AK31" s="294"/>
      <c r="AL31" s="294"/>
      <c r="AM31" s="294"/>
      <c r="AN31" s="292"/>
      <c r="AO31" s="285"/>
      <c r="AP31" s="292"/>
      <c r="AQ31" s="285"/>
      <c r="AR31" s="292"/>
      <c r="AS31" s="72"/>
      <c r="AT31" s="72"/>
      <c r="AU31" s="72"/>
      <c r="AV31" s="72"/>
      <c r="AW31" s="72"/>
      <c r="AX31" s="72"/>
      <c r="AY31" s="72"/>
      <c r="AZ31" s="72"/>
      <c r="BA31" s="72"/>
      <c r="BB31" s="72"/>
      <c r="BC31" s="72"/>
      <c r="BD31" s="72"/>
      <c r="BE31" s="72"/>
      <c r="BF31" s="72"/>
      <c r="BG31" s="72"/>
    </row>
    <row r="32" spans="1:59" ht="93" customHeight="1" x14ac:dyDescent="0.25">
      <c r="A32" s="355"/>
      <c r="B32" s="357"/>
      <c r="C32" s="356"/>
      <c r="D32" s="356"/>
      <c r="E32" s="356"/>
      <c r="F32" s="356"/>
      <c r="G32" s="357"/>
      <c r="H32" s="103" t="s">
        <v>244</v>
      </c>
      <c r="I32" s="359"/>
      <c r="J32" s="314"/>
      <c r="K32" s="323"/>
      <c r="L32" s="314"/>
      <c r="M32" s="323"/>
      <c r="N32" s="344"/>
      <c r="O32" s="26">
        <v>3</v>
      </c>
      <c r="P32" s="104" t="s">
        <v>245</v>
      </c>
      <c r="Q32" s="26" t="str">
        <f t="shared" si="33"/>
        <v>Probabilidad</v>
      </c>
      <c r="R32" s="100" t="s">
        <v>159</v>
      </c>
      <c r="S32" s="100" t="s">
        <v>160</v>
      </c>
      <c r="T32" s="27" t="str">
        <f t="shared" si="29"/>
        <v>40%</v>
      </c>
      <c r="U32" s="100" t="s">
        <v>161</v>
      </c>
      <c r="V32" s="100" t="s">
        <v>205</v>
      </c>
      <c r="W32" s="100" t="s">
        <v>163</v>
      </c>
      <c r="X32" s="89" t="s">
        <v>246</v>
      </c>
      <c r="Y32" s="85">
        <f>IFERROR(IF(AND(Q31="Probabilidad",Q32="Probabilidad"),(AA31-(+AA31*T32)),IF(AND(Q31="Impacto",Q32="Probabilidad"),(AA30-(+AA30*T32)),IF(Q32="Impacto",AA31,""))),"")</f>
        <v>8.4671999999999997E-2</v>
      </c>
      <c r="Z32" s="29" t="str">
        <f t="shared" si="23"/>
        <v>Muy Baja</v>
      </c>
      <c r="AA32" s="27">
        <f t="shared" si="30"/>
        <v>8.4671999999999997E-2</v>
      </c>
      <c r="AB32" s="29" t="str">
        <f t="shared" si="31"/>
        <v>Moderado</v>
      </c>
      <c r="AC32" s="27">
        <f>IFERROR(IF(AND(Q31="Impacto",Q32="Impacto"),(AC31-(+AC31*T32)),IF(AND(Q31="Probabilidad",Q32="Impacto"),(AC30-(+AC30*T32)),IF(Q32="Probabilidad",AC31,""))),"")</f>
        <v>0.44999999999999996</v>
      </c>
      <c r="AD32" s="314"/>
      <c r="AE32" s="301"/>
      <c r="AF32" s="314"/>
      <c r="AG32" s="301"/>
      <c r="AH32" s="318"/>
      <c r="AI32" s="303"/>
      <c r="AJ32" s="364"/>
      <c r="AK32" s="295"/>
      <c r="AL32" s="295"/>
      <c r="AM32" s="295"/>
      <c r="AN32" s="292"/>
      <c r="AO32" s="285"/>
      <c r="AP32" s="292"/>
      <c r="AQ32" s="285"/>
      <c r="AR32" s="292"/>
      <c r="AS32" s="72"/>
      <c r="AT32" s="72"/>
      <c r="AU32" s="72"/>
      <c r="AV32" s="72"/>
      <c r="AW32" s="72"/>
      <c r="AX32" s="72"/>
      <c r="AY32" s="72"/>
      <c r="AZ32" s="72"/>
      <c r="BA32" s="72"/>
      <c r="BB32" s="72"/>
      <c r="BC32" s="72"/>
      <c r="BD32" s="72"/>
      <c r="BE32" s="72"/>
      <c r="BF32" s="72"/>
      <c r="BG32" s="72"/>
    </row>
    <row r="33" spans="1:59" ht="222.6" customHeight="1" x14ac:dyDescent="0.25">
      <c r="A33" s="302" t="s">
        <v>247</v>
      </c>
      <c r="B33" s="371" t="s">
        <v>248</v>
      </c>
      <c r="C33" s="371" t="s">
        <v>249</v>
      </c>
      <c r="D33" s="371" t="s">
        <v>250</v>
      </c>
      <c r="E33" s="371" t="s">
        <v>251</v>
      </c>
      <c r="F33" s="371" t="s">
        <v>252</v>
      </c>
      <c r="G33" s="371" t="s">
        <v>253</v>
      </c>
      <c r="H33" s="102" t="s">
        <v>254</v>
      </c>
      <c r="I33" s="358" t="s">
        <v>156</v>
      </c>
      <c r="J33" s="313" t="s">
        <v>255</v>
      </c>
      <c r="K33" s="331">
        <f>IF(J33="","",IF(J33="Muy Baja",0.2,IF(J33="Baja",0.4,IF(J33="Media",0.6,IF(J33="Alta",0.8,IF(J33="Muy Alta",1,))))))</f>
        <v>0.6</v>
      </c>
      <c r="L33" s="313" t="s">
        <v>15</v>
      </c>
      <c r="M33" s="331">
        <f>IF(L33="","",IF(L33="Leve",0.2,IF(L33="Menor",0.4,IF(L33="Moderado",0.6,IF(L33="Mayor",0.8,IF(L33="Catastrófico",1,))))))</f>
        <v>0.6</v>
      </c>
      <c r="N33" s="317" t="str">
        <f>IF(OR(AND(J33="Muy Baja",L33="Leve"),AND(J33="Muy Baja",L33="Menor"),AND(J33="Baja",L33="Leve")),"Bajo",IF(OR(AND(J33="Muy baja",L33="Moderado"),AND(J33="Baja",L33="Menor"),AND(J33="Baja",L33="Moderado"),AND(J33="Media",L33="Leve"),AND(J33="Media",L33="Menor"),AND(J33="Media",L33="Moderado"),AND(J33="Alta",L33="Leve"),AND(J33="Alta",L33="Menor")),"Moderado",IF(OR(AND(J33="Muy Baja",L33="Mayor"),AND(J33="Baja",L33="Mayor"),AND(J33="Media",L33="Mayor"),AND(J33="Alta",L33="Moderado"),AND(J33="Alta",L33="Mayor"),AND(J33="Muy Alta",L33="Leve"),AND(J33="Muy Alta",L33="Menor"),AND(J33="Muy Alta",L33="Moderado"),AND(J33="Muy Alta",L33="Mayor")),"Alto",IF(OR(AND(J33="Muy Baja",L33="Catastrófico"),AND(J33="Baja",L33="Catastrófico"),AND(J33="Media",L33="Catastrófico"),AND(J33="Alta",L33="Catastrófico"),AND(J33="Muy Alta",L33="Catastrófico")),"Extremo",""))))</f>
        <v>Moderado</v>
      </c>
      <c r="O33" s="26">
        <v>1</v>
      </c>
      <c r="P33" s="84" t="s">
        <v>256</v>
      </c>
      <c r="Q33" s="26" t="str">
        <f>IF(OR(R33="Preventivo",R33="Detectivo"),"Probabilidad",IF(R33="Correctivo","Impacto",""))</f>
        <v>Probabilidad</v>
      </c>
      <c r="R33" s="100" t="s">
        <v>159</v>
      </c>
      <c r="S33" s="100" t="s">
        <v>160</v>
      </c>
      <c r="T33" s="27" t="str">
        <f>IF(AND(R33="Preventivo",S33="Automático"),"50%",IF(AND(R33="Preventivo",S33="Manual"),"40%",IF(AND(R33="Detectivo",S33="Automático"),"40%",IF(AND(R33="Detectivo",S33="Manual"),"30%",IF(AND(R33="Correctivo",S33="Automático"),"35%",IF(AND(R33="Correctivo",S33="Manual"),"25%",""))))))</f>
        <v>40%</v>
      </c>
      <c r="U33" s="100" t="s">
        <v>161</v>
      </c>
      <c r="V33" s="100" t="s">
        <v>162</v>
      </c>
      <c r="W33" s="100" t="s">
        <v>163</v>
      </c>
      <c r="X33" s="104" t="s">
        <v>257</v>
      </c>
      <c r="Y33" s="85">
        <f>IFERROR(IF(Q33="Probabilidad",(K33-(+K33*T33)),IF(Q33="Impacto",K33,"")),"")</f>
        <v>0.36</v>
      </c>
      <c r="Z33" s="29" t="str">
        <f t="shared" si="23"/>
        <v>Baja</v>
      </c>
      <c r="AA33" s="27">
        <f>+Y33</f>
        <v>0.36</v>
      </c>
      <c r="AB33" s="29" t="str">
        <f>IFERROR(IF(AC33="","",IF(AC33&lt;=0.2,"Leve",IF(AC33&lt;=0.4,"Menor",IF(AC33&lt;=0.6,"Moderado",IF(AC33&lt;=0.8,"Mayor","Catastrófico"))))),"")</f>
        <v>Moderado</v>
      </c>
      <c r="AC33" s="27">
        <f>IFERROR(IF(Q33="Impacto",(M33-(+M33*T33)),IF(Q33="Probabilidad",M33,"")),"")</f>
        <v>0.6</v>
      </c>
      <c r="AD33" s="313" t="str">
        <f t="shared" ref="AD33" si="34">IFERROR(IF(AE33=0,"",IF(AND(AE33&gt;0,AE33&lt;=0.2),"Muy Baja",IF(AE33&lt;=0.4,"Baja",IF(AE33&lt;=0.6,"Media",IF(AE33&lt;=0.8,"Alta","Muy Alta"))))),"")</f>
        <v>Baja</v>
      </c>
      <c r="AE33" s="300">
        <f>MIN(Y33:Y34)</f>
        <v>0.216</v>
      </c>
      <c r="AF33" s="313" t="str">
        <f t="shared" ref="AF33" si="35">IFERROR(IF(AG33=0,"",IF(AND(AG33&gt;0,AG33&lt;=0.2),"Leve",IF(AG33&lt;=0.4,"Menor",IF(AG33&lt;=0.6,"Moderado",IF(AG33&lt;=0.8,"Mayor","Catastrófico"))))),"")</f>
        <v>Moderado</v>
      </c>
      <c r="AG33" s="300">
        <f>MIN(AC33:AC34)</f>
        <v>0.6</v>
      </c>
      <c r="AH33" s="317" t="str">
        <f t="shared" ref="AH33" si="36">IFERROR(IF(OR(AND(AD33="Muy Baja",AF33="Leve"),AND(AD33="Muy Baja",AF33="Menor"),AND(AD33="Baja",AF33="Leve")),"Bajo",IF(OR(AND(AD33="Muy Baja",AF33="Moderado"),AND(AD33="Baja",AF33="Menor"),AND(AD33="Baja",AF33="Moderado"),AND(AD33="Media",AF33="Leve"),AND(AD33="Media",AF33="Menor"),AND(AD33="Media",AF33="Moderado"),AND(AD33="Alta",AF33="Leve"),AND(AD33="Alta",AF33="Menor")),"Moderado",IF(OR(AND(AD33="Muy Baja",AF33="Mayor"),AND(AD33="Baja",AF33="Mayor"),AND(AD33="Media",AF33="Mayor"),AND(AD33="Alta",AF33="Moderado"),AND(AD33="Alta",AF33="Mayor"),AND(AD33="Muy Alta",AF33="Leve"),AND(AD33="Muy Alta",AF33="Menor"),AND(AD33="Muy Alta",AF33="Moderado"),AND(AD33="Muy Alta",AF33="Mayor")),"Alto",IF(OR(AND(AD33="Muy Baja",AF33="Catastrófico"),AND(AD33="Baja",AF33="Catastrófico"),AND(AD33="Media",AF33="Catastrófico"),AND(AD33="Alta",AF33="Catastrófico"),AND(AD33="Muy Alta",AF33="Catastrófico")),"Extremo","")))),"")</f>
        <v>Moderado</v>
      </c>
      <c r="AI33" s="302" t="s">
        <v>165</v>
      </c>
      <c r="AJ33" s="304"/>
      <c r="AK33" s="293" t="s">
        <v>258</v>
      </c>
      <c r="AL33" s="293" t="s">
        <v>259</v>
      </c>
      <c r="AM33" s="286" t="s">
        <v>614</v>
      </c>
      <c r="AN33" s="293" t="s">
        <v>260</v>
      </c>
      <c r="AO33" s="279" t="s">
        <v>169</v>
      </c>
      <c r="AP33" s="293"/>
      <c r="AQ33" s="279" t="s">
        <v>169</v>
      </c>
      <c r="AR33" s="293"/>
      <c r="AS33" s="72"/>
      <c r="AT33" s="72"/>
      <c r="AU33" s="72"/>
      <c r="AV33" s="72"/>
      <c r="AW33" s="72"/>
      <c r="AX33" s="72"/>
      <c r="AY33" s="72"/>
      <c r="AZ33" s="72"/>
      <c r="BA33" s="72"/>
      <c r="BB33" s="72"/>
      <c r="BC33" s="72"/>
      <c r="BD33" s="72"/>
      <c r="BE33" s="72"/>
      <c r="BF33" s="72"/>
      <c r="BG33" s="72"/>
    </row>
    <row r="34" spans="1:59" ht="101.4" customHeight="1" x14ac:dyDescent="0.25">
      <c r="A34" s="303"/>
      <c r="B34" s="372"/>
      <c r="C34" s="372"/>
      <c r="D34" s="372"/>
      <c r="E34" s="372"/>
      <c r="F34" s="372"/>
      <c r="G34" s="372"/>
      <c r="H34" s="102" t="s">
        <v>261</v>
      </c>
      <c r="I34" s="359"/>
      <c r="J34" s="314"/>
      <c r="K34" s="332"/>
      <c r="L34" s="314"/>
      <c r="M34" s="332"/>
      <c r="N34" s="318"/>
      <c r="O34" s="26">
        <v>2</v>
      </c>
      <c r="P34" s="84" t="s">
        <v>262</v>
      </c>
      <c r="Q34" s="26" t="str">
        <f t="shared" ref="Q34:Q41" si="37">IF(OR(R34="Preventivo",R34="Detectivo"),"Probabilidad",IF(R34="Correctivo","Impacto",""))</f>
        <v>Probabilidad</v>
      </c>
      <c r="R34" s="100" t="s">
        <v>159</v>
      </c>
      <c r="S34" s="100" t="s">
        <v>160</v>
      </c>
      <c r="T34" s="27" t="str">
        <f t="shared" ref="T34" si="38">IF(AND(R34="Preventivo",S34="Automático"),"50%",IF(AND(R34="Preventivo",S34="Manual"),"40%",IF(AND(R34="Detectivo",S34="Automático"),"40%",IF(AND(R34="Detectivo",S34="Manual"),"30%",IF(AND(R34="Correctivo",S34="Automático"),"35%",IF(AND(R34="Correctivo",S34="Manual"),"25%",""))))))</f>
        <v>40%</v>
      </c>
      <c r="U34" s="100" t="s">
        <v>161</v>
      </c>
      <c r="V34" s="100" t="s">
        <v>162</v>
      </c>
      <c r="W34" s="100" t="s">
        <v>163</v>
      </c>
      <c r="X34" s="101" t="s">
        <v>263</v>
      </c>
      <c r="Y34" s="85">
        <f>IFERROR(IF(AND(Q33="Probabilidad",Q34="Probabilidad"),(AA33-(+AA33*T34)),IF(Q34="Probabilidad",(K33-(+K33*T34)),IF(Q34="Impacto",AA33,""))),"")</f>
        <v>0.216</v>
      </c>
      <c r="Z34" s="29" t="str">
        <f t="shared" si="23"/>
        <v>Baja</v>
      </c>
      <c r="AA34" s="27">
        <f t="shared" ref="AA34:AA35" si="39">+Y34</f>
        <v>0.216</v>
      </c>
      <c r="AB34" s="29" t="str">
        <f t="shared" ref="AB34:AB35" si="40">IFERROR(IF(AC34="","",IF(AC34&lt;=0.2,"Leve",IF(AC34&lt;=0.4,"Menor",IF(AC34&lt;=0.6,"Moderado",IF(AC34&lt;=0.8,"Mayor","Catastrófico"))))),"")</f>
        <v>Moderado</v>
      </c>
      <c r="AC34" s="27">
        <f>IFERROR(IF(AND(Q33="Impacto",Q34="Impacto"),(AC33-(+AC33*T34)),IF(Q34="Impacto",($M$15-(+$M$15*T34)),IF(Q34="Probabilidad",AC33,""))),"")</f>
        <v>0.6</v>
      </c>
      <c r="AD34" s="314"/>
      <c r="AE34" s="301"/>
      <c r="AF34" s="314"/>
      <c r="AG34" s="301"/>
      <c r="AH34" s="318"/>
      <c r="AI34" s="303"/>
      <c r="AJ34" s="305"/>
      <c r="AK34" s="294"/>
      <c r="AL34" s="294"/>
      <c r="AM34" s="287"/>
      <c r="AN34" s="294"/>
      <c r="AO34" s="280"/>
      <c r="AP34" s="294"/>
      <c r="AQ34" s="280"/>
      <c r="AR34" s="294"/>
      <c r="AS34" s="72"/>
      <c r="AT34" s="72"/>
      <c r="AU34" s="72"/>
      <c r="AV34" s="72"/>
      <c r="AW34" s="72"/>
      <c r="AX34" s="72"/>
      <c r="AY34" s="72"/>
      <c r="AZ34" s="72"/>
      <c r="BA34" s="72"/>
      <c r="BB34" s="72"/>
      <c r="BC34" s="72"/>
      <c r="BD34" s="72"/>
      <c r="BE34" s="72"/>
      <c r="BF34" s="72"/>
      <c r="BG34" s="72"/>
    </row>
    <row r="35" spans="1:59" ht="208.5" customHeight="1" x14ac:dyDescent="0.25">
      <c r="A35" s="370"/>
      <c r="B35" s="373"/>
      <c r="C35" s="373"/>
      <c r="D35" s="373"/>
      <c r="E35" s="373"/>
      <c r="F35" s="373"/>
      <c r="G35" s="373"/>
      <c r="H35" s="102" t="s">
        <v>264</v>
      </c>
      <c r="I35" s="360"/>
      <c r="J35" s="315"/>
      <c r="K35" s="333"/>
      <c r="L35" s="315"/>
      <c r="M35" s="333"/>
      <c r="N35" s="319"/>
      <c r="O35" s="26">
        <v>3</v>
      </c>
      <c r="P35" s="84" t="s">
        <v>265</v>
      </c>
      <c r="Q35" s="26" t="str">
        <f t="shared" ref="Q35" si="41">IF(OR(R35="Preventivo",R35="Detectivo"),"Probabilidad",IF(R35="Correctivo","Impacto",""))</f>
        <v>Probabilidad</v>
      </c>
      <c r="R35" s="100" t="s">
        <v>159</v>
      </c>
      <c r="S35" s="100" t="s">
        <v>160</v>
      </c>
      <c r="T35" s="27" t="str">
        <f t="shared" ref="T35" si="42">IF(AND(R35="Preventivo",S35="Automático"),"50%",IF(AND(R35="Preventivo",S35="Manual"),"40%",IF(AND(R35="Detectivo",S35="Automático"),"40%",IF(AND(R35="Detectivo",S35="Manual"),"30%",IF(AND(R35="Correctivo",S35="Automático"),"35%",IF(AND(R35="Correctivo",S35="Manual"),"25%",""))))))</f>
        <v>40%</v>
      </c>
      <c r="U35" s="100" t="s">
        <v>161</v>
      </c>
      <c r="V35" s="100" t="s">
        <v>162</v>
      </c>
      <c r="W35" s="100" t="s">
        <v>163</v>
      </c>
      <c r="X35" s="101" t="s">
        <v>266</v>
      </c>
      <c r="Y35" s="115">
        <f>IFERROR(IF(AND(Q34="Probabilidad",Q35="Probabilidad"),(AA34-(+AA34*T35)),IF(AND(Q34="Impacto",Q35="Probabilidad"),(AC33-(+AC33*T35)),IF(Q35="Impacto",AA34,""))),"")</f>
        <v>0.12959999999999999</v>
      </c>
      <c r="Z35" s="29" t="str">
        <f t="shared" si="23"/>
        <v>Muy Baja</v>
      </c>
      <c r="AA35" s="27">
        <f t="shared" si="39"/>
        <v>0.12959999999999999</v>
      </c>
      <c r="AB35" s="29" t="str">
        <f t="shared" si="40"/>
        <v>Moderado</v>
      </c>
      <c r="AC35" s="27">
        <f>IFERROR(IF(AND(Q34="Impacto",Q35="Impacto"),(AC34-(+AC34*T35)),IF(AND(Q34="Probabilidad",Q35="Impacto"),(AC33-(+AC33*T35)),IF(Q35="Probabilidad",AC34,""))),"")</f>
        <v>0.6</v>
      </c>
      <c r="AD35" s="315"/>
      <c r="AE35" s="316"/>
      <c r="AF35" s="315"/>
      <c r="AG35" s="316"/>
      <c r="AH35" s="319"/>
      <c r="AI35" s="320"/>
      <c r="AJ35" s="306"/>
      <c r="AK35" s="295"/>
      <c r="AL35" s="295"/>
      <c r="AM35" s="288"/>
      <c r="AN35" s="295"/>
      <c r="AO35" s="296"/>
      <c r="AP35" s="295"/>
      <c r="AQ35" s="296"/>
      <c r="AR35" s="295"/>
      <c r="AS35" s="72"/>
      <c r="AT35" s="72"/>
      <c r="AU35" s="72"/>
      <c r="AV35" s="72"/>
      <c r="AW35" s="72"/>
      <c r="AX35" s="72"/>
      <c r="AY35" s="72"/>
      <c r="AZ35" s="72"/>
      <c r="BA35" s="72"/>
      <c r="BB35" s="72"/>
      <c r="BC35" s="72"/>
      <c r="BD35" s="72"/>
      <c r="BE35" s="72"/>
      <c r="BF35" s="72"/>
      <c r="BG35" s="72"/>
    </row>
    <row r="36" spans="1:59" s="87" customFormat="1" ht="64.95" customHeight="1" x14ac:dyDescent="0.3">
      <c r="A36" s="355" t="s">
        <v>267</v>
      </c>
      <c r="B36" s="349" t="s">
        <v>196</v>
      </c>
      <c r="C36" s="362" t="s">
        <v>268</v>
      </c>
      <c r="D36" s="362" t="s">
        <v>269</v>
      </c>
      <c r="E36" s="362" t="s">
        <v>270</v>
      </c>
      <c r="F36" s="362" t="s">
        <v>271</v>
      </c>
      <c r="G36" s="362" t="s">
        <v>272</v>
      </c>
      <c r="H36" s="84" t="s">
        <v>273</v>
      </c>
      <c r="I36" s="358" t="s">
        <v>156</v>
      </c>
      <c r="J36" s="313" t="s">
        <v>157</v>
      </c>
      <c r="K36" s="331">
        <f t="shared" ref="K36" si="43">IF(J36="","",IF(J36="Muy Baja",0.2,IF(J36="Baja",0.4,IF(J36="Media",0.6,IF(J36="Alta",0.8,IF(J36="Muy Alta",1,))))))</f>
        <v>0.8</v>
      </c>
      <c r="L36" s="313" t="s">
        <v>274</v>
      </c>
      <c r="M36" s="331">
        <f t="shared" ref="M36" si="44">IF(L36="","",IF(L36="Leve",0.2,IF(L36="Menor",0.4,IF(L36="Moderado",0.6,IF(L36="Mayor",0.8,IF(L36="Catastrófico",1,))))))</f>
        <v>0.8</v>
      </c>
      <c r="N36" s="317" t="str">
        <f t="shared" ref="N36" si="45">IF(OR(AND(J36="Muy Baja",L36="Leve"),AND(J36="Muy Baja",L36="Menor"),AND(J36="Baja",L36="Leve")),"Bajo",IF(OR(AND(J36="Muy baja",L36="Moderado"),AND(J36="Baja",L36="Menor"),AND(J36="Baja",L36="Moderado"),AND(J36="Media",L36="Leve"),AND(J36="Media",L36="Menor"),AND(J36="Media",L36="Moderado"),AND(J36="Alta",L36="Leve"),AND(J36="Alta",L36="Menor")),"Moderado",IF(OR(AND(J36="Muy Baja",L36="Mayor"),AND(J36="Baja",L36="Mayor"),AND(J36="Media",L36="Mayor"),AND(J36="Alta",L36="Moderado"),AND(J36="Alta",L36="Mayor"),AND(J36="Muy Alta",L36="Leve"),AND(J36="Muy Alta",L36="Menor"),AND(J36="Muy Alta",L36="Moderado"),AND(J36="Muy Alta",L36="Mayor")),"Alto",IF(OR(AND(J36="Muy Baja",L36="Catastrófico"),AND(J36="Baja",L36="Catastrófico"),AND(J36="Media",L36="Catastrófico"),AND(J36="Alta",L36="Catastrófico"),AND(J36="Muy Alta",L36="Catastrófico")),"Extremo",""))))</f>
        <v>Alto</v>
      </c>
      <c r="O36" s="26">
        <v>1</v>
      </c>
      <c r="P36" s="83" t="s">
        <v>275</v>
      </c>
      <c r="Q36" s="26" t="str">
        <f>IF(OR(R36="Preventivo",R36="Detectivo"),"Probabilidad",IF(R36="Correctivo","Impacto",""))</f>
        <v>Probabilidad</v>
      </c>
      <c r="R36" s="100" t="s">
        <v>159</v>
      </c>
      <c r="S36" s="100" t="s">
        <v>276</v>
      </c>
      <c r="T36" s="27" t="str">
        <f>IF(AND(R36="Preventivo",S36="Automático"),"50%",IF(AND(R36="Preventivo",S36="Manual"),"40%",IF(AND(R36="Detectivo",S36="Automático"),"40%",IF(AND(R36="Detectivo",S36="Manual"),"30%",IF(AND(R36="Correctivo",S36="Automático"),"35%",IF(AND(R36="Correctivo",S36="Manual"),"25%",""))))))</f>
        <v>40%</v>
      </c>
      <c r="U36" s="100" t="s">
        <v>161</v>
      </c>
      <c r="V36" s="100" t="s">
        <v>162</v>
      </c>
      <c r="W36" s="100" t="s">
        <v>163</v>
      </c>
      <c r="X36" s="101" t="s">
        <v>277</v>
      </c>
      <c r="Y36" s="85">
        <f>IFERROR(IF(Q36="Probabilidad",(K36-(+K36*T36)),IF(Q36="Impacto",K36,"")),"")</f>
        <v>0.48</v>
      </c>
      <c r="Z36" s="29" t="str">
        <f t="shared" si="23"/>
        <v>Media</v>
      </c>
      <c r="AA36" s="27">
        <f>+Y36</f>
        <v>0.48</v>
      </c>
      <c r="AB36" s="29" t="str">
        <f>IFERROR(IF(AC36="","",IF(AC36&lt;=0.2,"Leve",IF(AC36&lt;=0.4,"Menor",IF(AC36&lt;=0.6,"Moderado",IF(AC36&lt;=0.8,"Mayor","Catastrófico"))))),"")</f>
        <v>Mayor</v>
      </c>
      <c r="AC36" s="27">
        <f>IFERROR(IF(Q36="Impacto",(M36-(+M36*T36)),IF(Q36="Probabilidad",M36,"")),"")</f>
        <v>0.8</v>
      </c>
      <c r="AD36" s="313" t="str">
        <f>IFERROR(IF(AE36=0,"",IF(AND(AE36&gt;0,AE36&lt;=0.2),"Muy Baja",IF(AE36&lt;=0.4,"Baja",IF(AE36&lt;=0.6,"Media",IF(AE36&lt;=0.8,"Alta","Muy Alta"))))),"")</f>
        <v>Baja</v>
      </c>
      <c r="AE36" s="300">
        <f>MIN(Y36:Y38)</f>
        <v>0.28799999999999998</v>
      </c>
      <c r="AF36" s="313" t="str">
        <f>IFERROR(IF(AG36=0,"",IF(AND(AG36&gt;0,AG36&lt;=0.2),"Leve",IF(AG36&lt;=0.4,"Menor",IF(AG36&lt;=0.6,"Moderado",IF(AG36&lt;=0.8,"Mayor","Catastrófico"))))),"")</f>
        <v>Moderado</v>
      </c>
      <c r="AG36" s="300">
        <f>MIN(AC36:AC38)</f>
        <v>0.60000000000000009</v>
      </c>
      <c r="AH36" s="317" t="str">
        <f>IFERROR(IF(OR(AND(AD36="Muy Baja",AF36="Leve"),AND(AD36="Muy Baja",AF36="Menor"),AND(AD36="Baja",AF36="Leve")),"Bajo",IF(OR(AND(AD36="Muy Baja",AF36="Moderado"),AND(AD36="Baja",AF36="Menor"),AND(AD36="Baja",AF36="Moderado"),AND(AD36="Media",AF36="Leve"),AND(AD36="Media",AF36="Menor"),AND(AD36="Media",AF36="Moderado"),AND(AD36="Alta",AF36="Leve"),AND(AD36="Alta",AF36="Menor")),"Moderado",IF(OR(AND(AD36="Muy Baja",AF36="Mayor"),AND(AD36="Baja",AF36="Mayor"),AND(AD36="Media",AF36="Mayor"),AND(AD36="Alta",AF36="Moderado"),AND(AD36="Alta",AF36="Mayor"),AND(AD36="Muy Alta",AF36="Leve"),AND(AD36="Muy Alta",AF36="Menor"),AND(AD36="Muy Alta",AF36="Moderado"),AND(AD36="Muy Alta",AF36="Mayor")),"Alto",IF(OR(AND(AD36="Muy Baja",AF36="Catastrófico"),AND(AD36="Baja",AF36="Catastrófico"),AND(AD36="Media",AF36="Catastrófico"),AND(AD36="Alta",AF36="Catastrófico"),AND(AD36="Muy Alta",AF36="Catastrófico")),"Extremo","")))),"")</f>
        <v>Moderado</v>
      </c>
      <c r="AI36" s="302" t="s">
        <v>165</v>
      </c>
      <c r="AJ36" s="104"/>
      <c r="AK36" s="293" t="s">
        <v>278</v>
      </c>
      <c r="AL36" s="293" t="s">
        <v>279</v>
      </c>
      <c r="AM36" s="293" t="s">
        <v>280</v>
      </c>
      <c r="AN36" s="293" t="s">
        <v>281</v>
      </c>
      <c r="AO36" s="279" t="s">
        <v>169</v>
      </c>
      <c r="AP36" s="293"/>
      <c r="AQ36" s="279" t="s">
        <v>169</v>
      </c>
      <c r="AR36" s="293"/>
      <c r="AS36" s="86"/>
      <c r="AT36" s="86"/>
      <c r="AU36" s="86"/>
      <c r="AV36" s="86"/>
      <c r="AW36" s="86"/>
      <c r="AX36" s="86"/>
      <c r="AY36" s="86"/>
      <c r="AZ36" s="86"/>
      <c r="BA36" s="86"/>
      <c r="BB36" s="86"/>
      <c r="BC36" s="86"/>
      <c r="BD36" s="86"/>
      <c r="BE36" s="86"/>
      <c r="BF36" s="86"/>
    </row>
    <row r="37" spans="1:59" ht="123.6" customHeight="1" x14ac:dyDescent="0.25">
      <c r="A37" s="355"/>
      <c r="B37" s="361"/>
      <c r="C37" s="363"/>
      <c r="D37" s="363"/>
      <c r="E37" s="363"/>
      <c r="F37" s="363"/>
      <c r="G37" s="363"/>
      <c r="H37" s="99" t="s">
        <v>282</v>
      </c>
      <c r="I37" s="359"/>
      <c r="J37" s="314"/>
      <c r="K37" s="332"/>
      <c r="L37" s="314"/>
      <c r="M37" s="332"/>
      <c r="N37" s="318"/>
      <c r="O37" s="26">
        <v>2</v>
      </c>
      <c r="P37" s="83" t="s">
        <v>283</v>
      </c>
      <c r="Q37" s="26" t="str">
        <f>IF(OR(R37="Preventivo",R37="Detectivo"),"Probabilidad",IF(R37="Correctivo","Impacto",""))</f>
        <v>Probabilidad</v>
      </c>
      <c r="R37" s="100" t="s">
        <v>159</v>
      </c>
      <c r="S37" s="100" t="s">
        <v>160</v>
      </c>
      <c r="T37" s="27" t="str">
        <f t="shared" ref="T37:T38" si="46">IF(AND(R37="Preventivo",S37="Automático"),"50%",IF(AND(R37="Preventivo",S37="Manual"),"40%",IF(AND(R37="Detectivo",S37="Automático"),"40%",IF(AND(R37="Detectivo",S37="Manual"),"30%",IF(AND(R37="Correctivo",S37="Automático"),"35%",IF(AND(R37="Correctivo",S37="Manual"),"25%",""))))))</f>
        <v>40%</v>
      </c>
      <c r="U37" s="100" t="s">
        <v>186</v>
      </c>
      <c r="V37" s="100" t="s">
        <v>162</v>
      </c>
      <c r="W37" s="100" t="s">
        <v>163</v>
      </c>
      <c r="X37" s="104" t="s">
        <v>284</v>
      </c>
      <c r="Y37" s="85">
        <f>IFERROR(IF(AND(Q36="Probabilidad",Q37="Probabilidad"),(AA36-(+AA36*T37)),IF(Q37="Probabilidad",(K36-(+K36*T37)),IF(Q37="Impacto",AA36,""))),"")</f>
        <v>0.28799999999999998</v>
      </c>
      <c r="Z37" s="29" t="str">
        <f t="shared" si="23"/>
        <v>Baja</v>
      </c>
      <c r="AA37" s="27">
        <f t="shared" ref="AA37:AA38" si="47">+Y37</f>
        <v>0.28799999999999998</v>
      </c>
      <c r="AB37" s="29" t="str">
        <f t="shared" ref="AB37:AB38" si="48">IFERROR(IF(AC37="","",IF(AC37&lt;=0.2,"Leve",IF(AC37&lt;=0.4,"Menor",IF(AC37&lt;=0.6,"Moderado",IF(AC37&lt;=0.8,"Mayor","Catastrófico"))))),"")</f>
        <v>Mayor</v>
      </c>
      <c r="AC37" s="27">
        <f>IFERROR(IF(AND(Q36="Impacto",Q37="Impacto"),(AC36-(+AC36*T37)),IF(Q37="Impacto",($M$15-(+$M$15*T37)),IF(Q37="Probabilidad",AC36,""))),"")</f>
        <v>0.8</v>
      </c>
      <c r="AD37" s="314"/>
      <c r="AE37" s="301"/>
      <c r="AF37" s="314"/>
      <c r="AG37" s="301"/>
      <c r="AH37" s="318"/>
      <c r="AI37" s="303"/>
      <c r="AJ37" s="104"/>
      <c r="AK37" s="294"/>
      <c r="AL37" s="294"/>
      <c r="AM37" s="294"/>
      <c r="AN37" s="294"/>
      <c r="AO37" s="280"/>
      <c r="AP37" s="294"/>
      <c r="AQ37" s="280"/>
      <c r="AR37" s="294"/>
      <c r="AS37" s="72"/>
      <c r="AT37" s="72"/>
      <c r="AU37" s="72"/>
      <c r="AV37" s="72"/>
      <c r="AW37" s="72"/>
      <c r="AX37" s="72"/>
      <c r="AY37" s="72"/>
      <c r="AZ37" s="72"/>
      <c r="BA37" s="72"/>
      <c r="BB37" s="72"/>
      <c r="BC37" s="72"/>
      <c r="BD37" s="72"/>
      <c r="BE37" s="72"/>
      <c r="BF37" s="72"/>
    </row>
    <row r="38" spans="1:59" ht="153.6" customHeight="1" x14ac:dyDescent="0.25">
      <c r="A38" s="355"/>
      <c r="B38" s="361"/>
      <c r="C38" s="363"/>
      <c r="D38" s="363"/>
      <c r="E38" s="363"/>
      <c r="F38" s="363"/>
      <c r="G38" s="363"/>
      <c r="H38" s="99"/>
      <c r="I38" s="360"/>
      <c r="J38" s="315"/>
      <c r="K38" s="333"/>
      <c r="L38" s="315"/>
      <c r="M38" s="333"/>
      <c r="N38" s="319"/>
      <c r="O38" s="26">
        <v>3</v>
      </c>
      <c r="P38" s="83" t="s">
        <v>285</v>
      </c>
      <c r="Q38" s="26" t="str">
        <f>IF(OR(R38="Preventivo",R38="Detectivo"),"Probabilidad",IF(R38="Correctivo","Impacto",""))</f>
        <v>Impacto</v>
      </c>
      <c r="R38" s="100" t="s">
        <v>228</v>
      </c>
      <c r="S38" s="100" t="s">
        <v>160</v>
      </c>
      <c r="T38" s="27" t="str">
        <f t="shared" si="46"/>
        <v>25%</v>
      </c>
      <c r="U38" s="100" t="s">
        <v>161</v>
      </c>
      <c r="V38" s="100" t="s">
        <v>162</v>
      </c>
      <c r="W38" s="100" t="s">
        <v>163</v>
      </c>
      <c r="X38" s="103" t="s">
        <v>286</v>
      </c>
      <c r="Y38" s="85">
        <f>IFERROR(IF(AND(Q37="Probabilidad",Q38="Probabilidad"),(AA37-(+AA37*T38)),IF(AND(Q37="Impacto",Q38="Probabilidad"),(AA36-(+AA36*T38)),IF(Q38="Impacto",AA37,""))),"")</f>
        <v>0.28799999999999998</v>
      </c>
      <c r="Z38" s="29" t="str">
        <f t="shared" si="23"/>
        <v>Baja</v>
      </c>
      <c r="AA38" s="27">
        <f t="shared" si="47"/>
        <v>0.28799999999999998</v>
      </c>
      <c r="AB38" s="29" t="str">
        <f t="shared" si="48"/>
        <v>Moderado</v>
      </c>
      <c r="AC38" s="27">
        <f>IFERROR(IF(AND(Q37="Impacto",Q38="Impacto"),(AC37-(+AC37*T38)),IF(AND(Q37="Probabilidad",Q38="Impacto"),(AC36-(+AC36*T38)),IF(Q38="Probabilidad",AC37,""))),"")</f>
        <v>0.60000000000000009</v>
      </c>
      <c r="AD38" s="314"/>
      <c r="AE38" s="301"/>
      <c r="AF38" s="314"/>
      <c r="AG38" s="301"/>
      <c r="AH38" s="318"/>
      <c r="AI38" s="303"/>
      <c r="AJ38" s="104"/>
      <c r="AK38" s="295"/>
      <c r="AL38" s="295"/>
      <c r="AM38" s="295"/>
      <c r="AN38" s="294"/>
      <c r="AO38" s="280"/>
      <c r="AP38" s="294"/>
      <c r="AQ38" s="280"/>
      <c r="AR38" s="294"/>
      <c r="AS38" s="72"/>
      <c r="AT38" s="72"/>
      <c r="AU38" s="72"/>
      <c r="AV38" s="72"/>
      <c r="AW38" s="72"/>
      <c r="AX38" s="72"/>
      <c r="AY38" s="72"/>
      <c r="AZ38" s="72"/>
      <c r="BA38" s="72"/>
      <c r="BB38" s="72"/>
      <c r="BC38" s="72"/>
      <c r="BD38" s="72"/>
      <c r="BE38" s="72"/>
      <c r="BF38" s="72"/>
    </row>
    <row r="39" spans="1:59" ht="97.95" customHeight="1" x14ac:dyDescent="0.25">
      <c r="A39" s="355" t="s">
        <v>287</v>
      </c>
      <c r="B39" s="357" t="s">
        <v>288</v>
      </c>
      <c r="C39" s="356" t="s">
        <v>289</v>
      </c>
      <c r="D39" s="356" t="s">
        <v>290</v>
      </c>
      <c r="E39" s="356" t="s">
        <v>291</v>
      </c>
      <c r="F39" s="356" t="s">
        <v>292</v>
      </c>
      <c r="G39" s="357" t="s">
        <v>293</v>
      </c>
      <c r="I39" s="358" t="s">
        <v>156</v>
      </c>
      <c r="J39" s="313" t="s">
        <v>294</v>
      </c>
      <c r="K39" s="323">
        <f>IF(J39="","",IF(J39="Muy Baja",0.2,IF(J39="Baja",0.4,IF(J39="Media",0.6,IF(J39="Alta",0.8,IF(J39="Muy Alta",1,))))))</f>
        <v>0.2</v>
      </c>
      <c r="L39" s="313" t="s">
        <v>15</v>
      </c>
      <c r="M39" s="323">
        <f>IF(L39="","",IF(L39="Leve",0.2,IF(L39="Menor",0.4,IF(L39="Moderado",0.6,IF(L39="Mayor",0.8,IF(L39="Catastrófico",1,))))))</f>
        <v>0.6</v>
      </c>
      <c r="N39" s="344" t="str">
        <f>IF(OR(AND(J39="Muy Baja",L39="Leve"),AND(J39="Muy Baja",L39="Menor"),AND(J39="Baja",L39="Leve")),"Bajo",IF(OR(AND(J39="Muy baja",L39="Moderado"),AND(J39="Baja",L39="Menor"),AND(J39="Baja",L39="Moderado"),AND(J39="Media",L39="Leve"),AND(J39="Media",L39="Menor"),AND(J39="Media",L39="Moderado"),AND(J39="Alta",L39="Leve"),AND(J39="Alta",L39="Menor")),"Moderado",IF(OR(AND(J39="Muy Baja",L39="Mayor"),AND(J39="Baja",L39="Mayor"),AND(J39="Media",L39="Mayor"),AND(J39="Alta",L39="Moderado"),AND(J39="Alta",L39="Mayor"),AND(J39="Muy Alta",L39="Leve"),AND(J39="Muy Alta",L39="Menor"),AND(J39="Muy Alta",L39="Moderado"),AND(J39="Muy Alta",L39="Mayor")),"Alto",IF(OR(AND(J39="Muy Baja",L39="Catastrófico"),AND(J39="Baja",L39="Catastrófico"),AND(J39="Media",L39="Catastrófico"),AND(J39="Alta",L39="Catastrófico"),AND(J39="Muy Alta",L39="Catastrófico")),"Extremo",""))))</f>
        <v>Moderado</v>
      </c>
      <c r="O39" s="26">
        <v>0</v>
      </c>
      <c r="P39" s="102" t="s">
        <v>295</v>
      </c>
      <c r="Q39" s="26" t="str">
        <f t="shared" si="37"/>
        <v>Probabilidad</v>
      </c>
      <c r="R39" s="100" t="s">
        <v>190</v>
      </c>
      <c r="S39" s="100" t="s">
        <v>160</v>
      </c>
      <c r="T39" s="27" t="str">
        <f>IF(AND(R39="Preventivo",S39="Automático"),"50%",IF(AND(R39="Preventivo",S39="Manual"),"40%",IF(AND(R39="Detectivo",S39="Automático"),"40%",IF(AND(R39="Detectivo",S39="Manual"),"30%",IF(AND(R39="Correctivo",S39="Automático"),"35%",IF(AND(R39="Correctivo",S39="Manual"),"25%",""))))))</f>
        <v>30%</v>
      </c>
      <c r="U39" s="100" t="s">
        <v>161</v>
      </c>
      <c r="V39" s="100" t="s">
        <v>162</v>
      </c>
      <c r="W39" s="100" t="s">
        <v>163</v>
      </c>
      <c r="X39" s="102" t="s">
        <v>296</v>
      </c>
      <c r="Y39" s="85">
        <f>IFERROR(IF(Q39="Probabilidad",(K39-(+K39*T39)),IF(Q39="Impacto",K39,"")),"")</f>
        <v>0.14000000000000001</v>
      </c>
      <c r="Z39" s="29" t="str">
        <f t="shared" ref="Z39:Z41" si="49">IFERROR(IF(Y39="","",IF(Y39&lt;=0.2,"Muy Baja",IF(Y39&lt;=0.4,"Baja",IF(Y39&lt;=0.6,"Media",IF(Y39&lt;=0.8,"Alta","Muy Alta"))))),"")</f>
        <v>Muy Baja</v>
      </c>
      <c r="AA39" s="27">
        <f>+Y39</f>
        <v>0.14000000000000001</v>
      </c>
      <c r="AB39" s="29" t="str">
        <f>IFERROR(IF(AC39="","",IF(AC39&lt;=0.2,"Leve",IF(AC39&lt;=0.4,"Menor",IF(AC39&lt;=0.6,"Moderado",IF(AC39&lt;=0.8,"Mayor","Catastrófico"))))),"")</f>
        <v>Moderado</v>
      </c>
      <c r="AC39" s="27">
        <f>IFERROR(IF(Q39="Impacto",(M39-(+M39*T39)),IF(Q39="Probabilidad",M39,"")),"")</f>
        <v>0.6</v>
      </c>
      <c r="AD39" s="313" t="str">
        <f t="shared" ref="AD39" si="50">IFERROR(IF(AE39=0,"",IF(AND(AE39&gt;0,AE39&lt;=0.2),"Muy Baja",IF(AE39&lt;=0.4,"Baja",IF(AE39&lt;=0.6,"Media",IF(AE39&lt;=0.8,"Alta","Muy Alta"))))),"")</f>
        <v>Muy Baja</v>
      </c>
      <c r="AE39" s="300">
        <f>MIN(Y39:Y41)</f>
        <v>5.04E-2</v>
      </c>
      <c r="AF39" s="313" t="str">
        <f t="shared" ref="AF39" si="51">IFERROR(IF(AG39=0,"",IF(AND(AG39&gt;0,AG39&lt;=0.2),"Leve",IF(AG39&lt;=0.4,"Menor",IF(AG39&lt;=0.6,"Moderado",IF(AG39&lt;=0.8,"Mayor","Catastrófico"))))),"")</f>
        <v>Moderado</v>
      </c>
      <c r="AG39" s="300">
        <f>MIN(AC39:AC41)</f>
        <v>0.6</v>
      </c>
      <c r="AH39" s="317" t="str">
        <f t="shared" ref="AH39" si="52">IFERROR(IF(OR(AND(AD39="Muy Baja",AF39="Leve"),AND(AD39="Muy Baja",AF39="Menor"),AND(AD39="Baja",AF39="Leve")),"Bajo",IF(OR(AND(AD39="Muy Baja",AF39="Moderado"),AND(AD39="Baja",AF39="Menor"),AND(AD39="Baja",AF39="Moderado"),AND(AD39="Media",AF39="Leve"),AND(AD39="Media",AF39="Menor"),AND(AD39="Media",AF39="Moderado"),AND(AD39="Alta",AF39="Leve"),AND(AD39="Alta",AF39="Menor")),"Moderado",IF(OR(AND(AD39="Muy Baja",AF39="Mayor"),AND(AD39="Baja",AF39="Mayor"),AND(AD39="Media",AF39="Mayor"),AND(AD39="Alta",AF39="Moderado"),AND(AD39="Alta",AF39="Mayor"),AND(AD39="Muy Alta",AF39="Leve"),AND(AD39="Muy Alta",AF39="Menor"),AND(AD39="Muy Alta",AF39="Moderado"),AND(AD39="Muy Alta",AF39="Mayor")),"Alto",IF(OR(AND(AD39="Muy Baja",AF39="Catastrófico"),AND(AD39="Baja",AF39="Catastrófico"),AND(AD39="Media",AF39="Catastrófico"),AND(AD39="Alta",AF39="Catastrófico"),AND(AD39="Muy Alta",AF39="Catastrófico")),"Extremo","")))),"")</f>
        <v>Moderado</v>
      </c>
      <c r="AI39" s="302" t="s">
        <v>165</v>
      </c>
      <c r="AJ39" s="365"/>
      <c r="AK39" s="293" t="s">
        <v>297</v>
      </c>
      <c r="AL39" s="281" t="s">
        <v>298</v>
      </c>
      <c r="AM39" s="293" t="s">
        <v>615</v>
      </c>
      <c r="AN39" s="293" t="s">
        <v>299</v>
      </c>
      <c r="AO39" s="289" t="s">
        <v>169</v>
      </c>
      <c r="AP39" s="293"/>
      <c r="AQ39" s="289" t="s">
        <v>169</v>
      </c>
      <c r="AR39" s="293"/>
      <c r="AS39" s="72"/>
      <c r="AT39" s="72"/>
      <c r="AU39" s="72"/>
      <c r="AV39" s="72"/>
      <c r="AW39" s="72"/>
      <c r="AX39" s="72"/>
      <c r="AY39" s="72"/>
      <c r="AZ39" s="72"/>
      <c r="BA39" s="72"/>
      <c r="BB39" s="72"/>
      <c r="BC39" s="72"/>
      <c r="BD39" s="72"/>
      <c r="BE39" s="72"/>
      <c r="BF39" s="72"/>
      <c r="BG39" s="72"/>
    </row>
    <row r="40" spans="1:59" ht="132.6" customHeight="1" x14ac:dyDescent="0.25">
      <c r="A40" s="355"/>
      <c r="B40" s="357"/>
      <c r="C40" s="356"/>
      <c r="D40" s="356"/>
      <c r="E40" s="356"/>
      <c r="F40" s="356"/>
      <c r="G40" s="357"/>
      <c r="H40" s="102" t="s">
        <v>300</v>
      </c>
      <c r="I40" s="359"/>
      <c r="J40" s="314"/>
      <c r="K40" s="323"/>
      <c r="L40" s="314"/>
      <c r="M40" s="323"/>
      <c r="N40" s="344"/>
      <c r="O40" s="26">
        <v>1</v>
      </c>
      <c r="P40" s="102" t="s">
        <v>301</v>
      </c>
      <c r="Q40" s="26" t="str">
        <f t="shared" si="37"/>
        <v>Probabilidad</v>
      </c>
      <c r="R40" s="100" t="s">
        <v>159</v>
      </c>
      <c r="S40" s="100" t="s">
        <v>160</v>
      </c>
      <c r="T40" s="27" t="str">
        <f t="shared" ref="T40:T41" si="53">IF(AND(R40="Preventivo",S40="Automático"),"50%",IF(AND(R40="Preventivo",S40="Manual"),"40%",IF(AND(R40="Detectivo",S40="Automático"),"40%",IF(AND(R40="Detectivo",S40="Manual"),"30%",IF(AND(R40="Correctivo",S40="Automático"),"35%",IF(AND(R40="Correctivo",S40="Manual"),"25%",""))))))</f>
        <v>40%</v>
      </c>
      <c r="U40" s="100" t="s">
        <v>161</v>
      </c>
      <c r="V40" s="100" t="s">
        <v>162</v>
      </c>
      <c r="W40" s="100" t="s">
        <v>163</v>
      </c>
      <c r="X40" s="102" t="s">
        <v>302</v>
      </c>
      <c r="Y40" s="85">
        <f>IFERROR(IF(AND(Q39="Probabilidad",Q40="Probabilidad"),(AA39-(+AA39*T40)),IF(Q40="Probabilidad",(K39-(+K39*T40)),IF(Q40="Impacto",AA39,""))),"")</f>
        <v>8.4000000000000005E-2</v>
      </c>
      <c r="Z40" s="29" t="str">
        <f t="shared" si="49"/>
        <v>Muy Baja</v>
      </c>
      <c r="AA40" s="27">
        <f t="shared" ref="AA40:AA41" si="54">+Y40</f>
        <v>8.4000000000000005E-2</v>
      </c>
      <c r="AB40" s="29" t="str">
        <f t="shared" ref="AB40:AB41" si="55">IFERROR(IF(AC40="","",IF(AC40&lt;=0.2,"Leve",IF(AC40&lt;=0.4,"Menor",IF(AC40&lt;=0.6,"Moderado",IF(AC40&lt;=0.8,"Mayor","Catastrófico"))))),"")</f>
        <v>Moderado</v>
      </c>
      <c r="AC40" s="27">
        <f>IFERROR(IF(AND(Q39="Impacto",Q40="Impacto"),(AC39-(+AC39*T40)),IF(Q40="Impacto",($M$15-(+$M$15*T40)),IF(Q40="Probabilidad",AC39,""))),"")</f>
        <v>0.6</v>
      </c>
      <c r="AD40" s="314"/>
      <c r="AE40" s="301"/>
      <c r="AF40" s="314"/>
      <c r="AG40" s="301"/>
      <c r="AH40" s="318"/>
      <c r="AI40" s="303"/>
      <c r="AJ40" s="365"/>
      <c r="AK40" s="294"/>
      <c r="AL40" s="282"/>
      <c r="AM40" s="294"/>
      <c r="AN40" s="294"/>
      <c r="AO40" s="290"/>
      <c r="AP40" s="294"/>
      <c r="AQ40" s="290"/>
      <c r="AR40" s="294"/>
      <c r="AS40" s="72"/>
      <c r="AT40" s="72"/>
      <c r="AU40" s="72"/>
      <c r="AV40" s="72"/>
      <c r="AW40" s="72"/>
      <c r="AX40" s="72"/>
      <c r="AY40" s="72"/>
      <c r="AZ40" s="72"/>
      <c r="BA40" s="72"/>
      <c r="BB40" s="72"/>
      <c r="BC40" s="72"/>
      <c r="BD40" s="72"/>
      <c r="BE40" s="72"/>
      <c r="BF40" s="72"/>
      <c r="BG40" s="72"/>
    </row>
    <row r="41" spans="1:59" ht="203.25" customHeight="1" x14ac:dyDescent="0.25">
      <c r="A41" s="355"/>
      <c r="B41" s="357"/>
      <c r="C41" s="356"/>
      <c r="D41" s="356"/>
      <c r="E41" s="356"/>
      <c r="F41" s="356"/>
      <c r="G41" s="357"/>
      <c r="H41" s="102" t="s">
        <v>303</v>
      </c>
      <c r="I41" s="359"/>
      <c r="J41" s="314"/>
      <c r="K41" s="323"/>
      <c r="L41" s="314"/>
      <c r="M41" s="323"/>
      <c r="N41" s="344"/>
      <c r="O41" s="26">
        <v>2</v>
      </c>
      <c r="P41" s="102" t="s">
        <v>304</v>
      </c>
      <c r="Q41" s="26" t="str">
        <f t="shared" si="37"/>
        <v>Probabilidad</v>
      </c>
      <c r="R41" s="100" t="s">
        <v>159</v>
      </c>
      <c r="S41" s="100" t="s">
        <v>160</v>
      </c>
      <c r="T41" s="27" t="str">
        <f t="shared" si="53"/>
        <v>40%</v>
      </c>
      <c r="U41" s="100" t="s">
        <v>186</v>
      </c>
      <c r="V41" s="100" t="s">
        <v>162</v>
      </c>
      <c r="W41" s="100" t="s">
        <v>163</v>
      </c>
      <c r="X41" s="102" t="s">
        <v>305</v>
      </c>
      <c r="Y41" s="85">
        <f>IFERROR(IF(AND(Q40="Probabilidad",Q41="Probabilidad"),(AA40-(+AA40*T41)),IF(AND(Q40="Impacto",Q41="Probabilidad"),(AA39-(+AA39*T41)),IF(Q41="Impacto",AA40,""))),"")</f>
        <v>5.04E-2</v>
      </c>
      <c r="Z41" s="29" t="str">
        <f t="shared" si="49"/>
        <v>Muy Baja</v>
      </c>
      <c r="AA41" s="27">
        <f t="shared" si="54"/>
        <v>5.04E-2</v>
      </c>
      <c r="AB41" s="29" t="str">
        <f t="shared" si="55"/>
        <v>Moderado</v>
      </c>
      <c r="AC41" s="27">
        <f>IFERROR(IF(AND(Q40="Impacto",Q41="Impacto"),(AC40-(+AC40*T41)),IF(AND(Q40="Probabilidad",Q41="Impacto"),(AC39-(+AC39*T41)),IF(Q41="Probabilidad",AC40,""))),"")</f>
        <v>0.6</v>
      </c>
      <c r="AD41" s="314"/>
      <c r="AE41" s="301"/>
      <c r="AF41" s="314"/>
      <c r="AG41" s="301"/>
      <c r="AH41" s="318"/>
      <c r="AI41" s="303"/>
      <c r="AJ41" s="365"/>
      <c r="AK41" s="295"/>
      <c r="AL41" s="283"/>
      <c r="AM41" s="295"/>
      <c r="AN41" s="294"/>
      <c r="AO41" s="290"/>
      <c r="AP41" s="294"/>
      <c r="AQ41" s="290"/>
      <c r="AR41" s="294"/>
      <c r="AS41" s="72"/>
      <c r="AT41" s="72"/>
      <c r="AU41" s="72"/>
      <c r="AV41" s="72"/>
      <c r="AW41" s="72"/>
      <c r="AX41" s="72"/>
      <c r="AY41" s="72"/>
      <c r="AZ41" s="72"/>
      <c r="BA41" s="72"/>
      <c r="BB41" s="72"/>
      <c r="BC41" s="72"/>
      <c r="BD41" s="72"/>
      <c r="BE41" s="72"/>
      <c r="BF41" s="72"/>
      <c r="BG41" s="72"/>
    </row>
    <row r="42" spans="1:59" s="118" customFormat="1" ht="129.6" customHeight="1" x14ac:dyDescent="0.25">
      <c r="A42" s="352" t="s">
        <v>306</v>
      </c>
      <c r="B42" s="354" t="s">
        <v>307</v>
      </c>
      <c r="C42" s="353" t="s">
        <v>289</v>
      </c>
      <c r="D42" s="324" t="s">
        <v>269</v>
      </c>
      <c r="E42" s="326" t="s">
        <v>308</v>
      </c>
      <c r="F42" s="324" t="s">
        <v>309</v>
      </c>
      <c r="G42" s="326" t="s">
        <v>310</v>
      </c>
      <c r="H42" s="112" t="s">
        <v>311</v>
      </c>
      <c r="I42" s="324" t="s">
        <v>156</v>
      </c>
      <c r="J42" s="321" t="s">
        <v>255</v>
      </c>
      <c r="K42" s="323">
        <f>IF(J42="","",IF(J42="Muy Baja",0.2,IF(J42="Baja",0.4,IF(J42="Media",0.6,IF(J42="Alta",0.8,IF(J42="Muy Alta",1,))))))</f>
        <v>0.6</v>
      </c>
      <c r="L42" s="321" t="s">
        <v>15</v>
      </c>
      <c r="M42" s="323">
        <f>IF(L42="","",IF(L42="Leve",0.2,IF(L42="Menor",0.4,IF(L42="Moderado",0.6,IF(L42="Mayor",0.8,IF(L42="Catastrófico",1,))))))</f>
        <v>0.6</v>
      </c>
      <c r="N42" s="344" t="str">
        <f>IF(OR(AND(J42="Muy Baja",L42="Leve"),AND(J42="Muy Baja",L42="Menor"),AND(J42="Baja",L42="Leve")),"Bajo",IF(OR(AND(J42="Muy baja",L42="Moderado"),AND(J42="Baja",L42="Menor"),AND(J42="Baja",L42="Moderado"),AND(J42="Media",L42="Leve"),AND(J42="Media",L42="Menor"),AND(J42="Media",L42="Moderado"),AND(J42="Alta",L42="Leve"),AND(J42="Alta",L42="Menor")),"Moderado",IF(OR(AND(J42="Muy Baja",L42="Mayor"),AND(J42="Baja",L42="Mayor"),AND(J42="Media",L42="Mayor"),AND(J42="Alta",L42="Moderado"),AND(J42="Alta",L42="Mayor"),AND(J42="Muy Alta",L42="Leve"),AND(J42="Muy Alta",L42="Menor"),AND(J42="Muy Alta",L42="Moderado"),AND(J42="Muy Alta",L42="Mayor")),"Alto",IF(OR(AND(J42="Muy Baja",L42="Catastrófico"),AND(J42="Baja",L42="Catastrófico"),AND(J42="Media",L42="Catastrófico"),AND(J42="Alta",L42="Catastrófico"),AND(J42="Muy Alta",L42="Catastrófico")),"Extremo",""))))</f>
        <v>Moderado</v>
      </c>
      <c r="O42" s="111">
        <v>1</v>
      </c>
      <c r="P42" s="113" t="s">
        <v>312</v>
      </c>
      <c r="Q42" s="26" t="str">
        <f>IF(OR(R42="Preventivo",R42="Detectivo"),"Probabilidad",IF(R42="Correctivo","Impacto",""))</f>
        <v>Probabilidad</v>
      </c>
      <c r="R42" s="114" t="s">
        <v>159</v>
      </c>
      <c r="S42" s="114" t="s">
        <v>160</v>
      </c>
      <c r="T42" s="27" t="str">
        <f>IF(AND(R42="Preventivo",S42="Automático"),"50%",IF(AND(R42="Preventivo",S42="Manual"),"40%",IF(AND(R42="Detectivo",S42="Automático"),"40%",IF(AND(R42="Detectivo",S42="Manual"),"30%",IF(AND(R42="Correctivo",S42="Automático"),"35%",IF(AND(R42="Correctivo",S42="Manual"),"25%",""))))))</f>
        <v>40%</v>
      </c>
      <c r="U42" s="114" t="s">
        <v>161</v>
      </c>
      <c r="V42" s="114" t="s">
        <v>162</v>
      </c>
      <c r="W42" s="114" t="s">
        <v>163</v>
      </c>
      <c r="X42" s="121" t="s">
        <v>313</v>
      </c>
      <c r="Y42" s="115">
        <f>IFERROR(IF(Q42="Probabilidad",(K42-(+K42*T42)),IF(Q42="Impacto",K42,"")),"")</f>
        <v>0.36</v>
      </c>
      <c r="Z42" s="29" t="str">
        <f t="shared" ref="Z42:Z43" si="56">IFERROR(IF(Y42="","",IF(Y42&lt;=0.2,"Muy Baja",IF(Y42&lt;=0.4,"Baja",IF(Y42&lt;=0.6,"Media",IF(Y42&lt;=0.8,"Alta","Muy Alta"))))),"")</f>
        <v>Baja</v>
      </c>
      <c r="AA42" s="27">
        <f>+Y42</f>
        <v>0.36</v>
      </c>
      <c r="AB42" s="29" t="str">
        <f>IFERROR(IF(AC42="","",IF(AC42&lt;=0.2,"Leve",IF(AC42&lt;=0.4,"Menor",IF(AC42&lt;=0.6,"Moderado",IF(AC42&lt;=0.8,"Mayor","Catastrófico"))))),"")</f>
        <v>Moderado</v>
      </c>
      <c r="AC42" s="27">
        <f>IFERROR(IF(Q42="Impacto",(M42-(+M42*T42)),IF(Q42="Probabilidad",M42,"")),"")</f>
        <v>0.6</v>
      </c>
      <c r="AD42" s="313" t="str">
        <f>IFERROR(IF(AE42=0,"",IF(AND(AE42&gt;0,AE42&lt;=0.2),"Muy Baja",IF(AE42&lt;=0.4,"Baja",IF(AE42&lt;=0.6,"Media",IF(AE42&lt;=0.8,"Alta","Muy Alta"))))),"")</f>
        <v>Baja</v>
      </c>
      <c r="AE42" s="300">
        <f>MIN(Y42:Y43)</f>
        <v>0.216</v>
      </c>
      <c r="AF42" s="313" t="str">
        <f>IFERROR(IF(AG42=0,"",IF(AND(AG42&gt;0,AG42&lt;=0.2),"Leve",IF(AG42&lt;=0.4,"Menor",IF(AG42&lt;=0.6,"Moderado",IF(AG42&lt;=0.8,"Mayor","Catastrófico"))))),"")</f>
        <v>Moderado</v>
      </c>
      <c r="AG42" s="300">
        <f>MIN(AC42:AC43)</f>
        <v>0.6</v>
      </c>
      <c r="AH42" s="317" t="str">
        <f>IFERROR(IF(OR(AND(AD42="Muy Baja",AF42="Leve"),AND(AD42="Muy Baja",AF42="Menor"),AND(AD42="Baja",AF42="Leve")),"Bajo",IF(OR(AND(AD42="Muy Baja",AF42="Moderado"),AND(AD42="Baja",AF42="Menor"),AND(AD42="Baja",AF42="Moderado"),AND(AD42="Media",AF42="Leve"),AND(AD42="Media",AF42="Menor"),AND(AD42="Media",AF42="Moderado"),AND(AD42="Alta",AF42="Leve"),AND(AD42="Alta",AF42="Menor")),"Moderado",IF(OR(AND(AD42="Muy Baja",AF42="Mayor"),AND(AD42="Baja",AF42="Mayor"),AND(AD42="Media",AF42="Mayor"),AND(AD42="Alta",AF42="Moderado"),AND(AD42="Alta",AF42="Mayor"),AND(AD42="Muy Alta",AF42="Leve"),AND(AD42="Muy Alta",AF42="Menor"),AND(AD42="Muy Alta",AF42="Moderado"),AND(AD42="Muy Alta",AF42="Mayor")),"Alto",IF(OR(AND(AD42="Muy Baja",AF42="Catastrófico"),AND(AD42="Baja",AF42="Catastrófico"),AND(AD42="Media",AF42="Catastrófico"),AND(AD42="Alta",AF42="Catastrófico"),AND(AD42="Muy Alta",AF42="Catastrófico")),"Extremo","")))),"")</f>
        <v>Moderado</v>
      </c>
      <c r="AI42" s="328"/>
      <c r="AJ42" s="116"/>
      <c r="AK42" s="279" t="s">
        <v>314</v>
      </c>
      <c r="AL42" s="279" t="s">
        <v>315</v>
      </c>
      <c r="AM42" s="286" t="s">
        <v>619</v>
      </c>
      <c r="AN42" s="286" t="s">
        <v>316</v>
      </c>
      <c r="AO42" s="279" t="s">
        <v>169</v>
      </c>
      <c r="AP42" s="279"/>
      <c r="AQ42" s="279" t="s">
        <v>169</v>
      </c>
      <c r="AR42" s="279"/>
      <c r="AS42" s="117"/>
      <c r="AT42" s="117"/>
      <c r="AU42" s="117"/>
      <c r="AV42" s="117"/>
      <c r="AW42" s="117"/>
      <c r="AX42" s="117"/>
      <c r="AY42" s="117"/>
      <c r="AZ42" s="117"/>
      <c r="BA42" s="117"/>
      <c r="BB42" s="117"/>
      <c r="BC42" s="117"/>
      <c r="BD42" s="117"/>
      <c r="BE42" s="117"/>
      <c r="BF42" s="117"/>
      <c r="BG42" s="117"/>
    </row>
    <row r="43" spans="1:59" s="118" customFormat="1" ht="277.5" customHeight="1" x14ac:dyDescent="0.25">
      <c r="A43" s="352"/>
      <c r="B43" s="354"/>
      <c r="C43" s="353"/>
      <c r="D43" s="325"/>
      <c r="E43" s="327"/>
      <c r="F43" s="325"/>
      <c r="G43" s="327"/>
      <c r="H43" s="112" t="s">
        <v>317</v>
      </c>
      <c r="I43" s="325"/>
      <c r="J43" s="322"/>
      <c r="K43" s="323"/>
      <c r="L43" s="322"/>
      <c r="M43" s="323"/>
      <c r="N43" s="344"/>
      <c r="O43" s="111">
        <v>2</v>
      </c>
      <c r="P43" s="123" t="s">
        <v>318</v>
      </c>
      <c r="Q43" s="26" t="str">
        <f>IF(OR(R43="Preventivo",R43="Detectivo"),"Probabilidad",IF(R43="Correctivo","Impacto",""))</f>
        <v>Probabilidad</v>
      </c>
      <c r="R43" s="114" t="s">
        <v>159</v>
      </c>
      <c r="S43" s="114" t="s">
        <v>160</v>
      </c>
      <c r="T43" s="27" t="str">
        <f t="shared" ref="T43" si="57">IF(AND(R43="Preventivo",S43="Automático"),"50%",IF(AND(R43="Preventivo",S43="Manual"),"40%",IF(AND(R43="Detectivo",S43="Automático"),"40%",IF(AND(R43="Detectivo",S43="Manual"),"30%",IF(AND(R43="Correctivo",S43="Automático"),"35%",IF(AND(R43="Correctivo",S43="Manual"),"25%",""))))))</f>
        <v>40%</v>
      </c>
      <c r="U43" s="114" t="s">
        <v>186</v>
      </c>
      <c r="V43" s="114" t="s">
        <v>162</v>
      </c>
      <c r="W43" s="114" t="s">
        <v>163</v>
      </c>
      <c r="X43" s="121" t="s">
        <v>319</v>
      </c>
      <c r="Y43" s="115">
        <f>IFERROR(IF(AND(Q42="Probabilidad",Q43="Probabilidad"),(AA42-(+AA42*T43)),IF(Q43="Probabilidad",(K42-(+K42*T43)),IF(Q43="Impacto",AA42,""))),"")</f>
        <v>0.216</v>
      </c>
      <c r="Z43" s="29" t="str">
        <f t="shared" si="56"/>
        <v>Baja</v>
      </c>
      <c r="AA43" s="27">
        <f t="shared" ref="AA43" si="58">+Y43</f>
        <v>0.216</v>
      </c>
      <c r="AB43" s="29" t="str">
        <f t="shared" ref="AB43" si="59">IFERROR(IF(AC43="","",IF(AC43&lt;=0.2,"Leve",IF(AC43&lt;=0.4,"Menor",IF(AC43&lt;=0.6,"Moderado",IF(AC43&lt;=0.8,"Mayor","Catastrófico"))))),"")</f>
        <v>Moderado</v>
      </c>
      <c r="AC43" s="27">
        <f>IFERROR(IF(AND(Q42="Impacto",Q43="Impacto"),(AC42-(+AC42*T43)),IF(Q43="Impacto",(#REF!-(+#REF!*T43)),IF(Q43="Probabilidad",AC42,""))),"")</f>
        <v>0.6</v>
      </c>
      <c r="AD43" s="314"/>
      <c r="AE43" s="301"/>
      <c r="AF43" s="314"/>
      <c r="AG43" s="301"/>
      <c r="AH43" s="318"/>
      <c r="AI43" s="329"/>
      <c r="AJ43" s="119"/>
      <c r="AK43" s="296"/>
      <c r="AL43" s="296"/>
      <c r="AM43" s="288"/>
      <c r="AN43" s="287"/>
      <c r="AO43" s="280"/>
      <c r="AP43" s="280"/>
      <c r="AQ43" s="280"/>
      <c r="AR43" s="280"/>
      <c r="AS43" s="117"/>
      <c r="AT43" s="117"/>
      <c r="AU43" s="117"/>
      <c r="AV43" s="117"/>
      <c r="AW43" s="117"/>
      <c r="AX43" s="117"/>
      <c r="AY43" s="117"/>
      <c r="AZ43" s="117"/>
      <c r="BA43" s="117"/>
      <c r="BB43" s="117"/>
      <c r="BC43" s="117"/>
      <c r="BD43" s="117"/>
      <c r="BE43" s="117"/>
      <c r="BF43" s="117"/>
      <c r="BG43" s="117"/>
    </row>
    <row r="44" spans="1:59" s="118" customFormat="1" ht="111.6" customHeight="1" x14ac:dyDescent="0.25">
      <c r="A44" s="352" t="s">
        <v>320</v>
      </c>
      <c r="B44" s="353" t="s">
        <v>321</v>
      </c>
      <c r="C44" s="353" t="s">
        <v>322</v>
      </c>
      <c r="D44" s="324" t="s">
        <v>323</v>
      </c>
      <c r="E44" s="326" t="s">
        <v>324</v>
      </c>
      <c r="F44" s="326" t="s">
        <v>325</v>
      </c>
      <c r="G44" s="326" t="s">
        <v>326</v>
      </c>
      <c r="H44" s="112" t="s">
        <v>327</v>
      </c>
      <c r="I44" s="324" t="s">
        <v>156</v>
      </c>
      <c r="J44" s="321" t="s">
        <v>255</v>
      </c>
      <c r="K44" s="323">
        <f>IF(J44="","",IF(J44="Muy Baja",0.2,IF(J44="Baja",0.4,IF(J44="Media",0.6,IF(J44="Alta",0.8,IF(J44="Muy Alta",1,))))))</f>
        <v>0.6</v>
      </c>
      <c r="L44" s="321" t="s">
        <v>15</v>
      </c>
      <c r="M44" s="323">
        <f>IF(L44="","",IF(L44="Leve",0.2,IF(L44="Menor",0.4,IF(L44="Moderado",0.6,IF(L44="Mayor",0.8,IF(L44="Catastrófico",1,))))))</f>
        <v>0.6</v>
      </c>
      <c r="N44" s="344" t="str">
        <f>IF(OR(AND(J44="Muy Baja",L44="Leve"),AND(J44="Muy Baja",L44="Menor"),AND(J44="Baja",L44="Leve")),"Bajo",IF(OR(AND(J44="Muy baja",L44="Moderado"),AND(J44="Baja",L44="Menor"),AND(J44="Baja",L44="Moderado"),AND(J44="Media",L44="Leve"),AND(J44="Media",L44="Menor"),AND(J44="Media",L44="Moderado"),AND(J44="Alta",L44="Leve"),AND(J44="Alta",L44="Menor")),"Moderado",IF(OR(AND(J44="Muy Baja",L44="Mayor"),AND(J44="Baja",L44="Mayor"),AND(J44="Media",L44="Mayor"),AND(J44="Alta",L44="Moderado"),AND(J44="Alta",L44="Mayor"),AND(J44="Muy Alta",L44="Leve"),AND(J44="Muy Alta",L44="Menor"),AND(J44="Muy Alta",L44="Moderado"),AND(J44="Muy Alta",L44="Mayor")),"Alto",IF(OR(AND(J44="Muy Baja",L44="Catastrófico"),AND(J44="Baja",L44="Catastrófico"),AND(J44="Media",L44="Catastrófico"),AND(J44="Alta",L44="Catastrófico"),AND(J44="Muy Alta",L44="Catastrófico")),"Extremo",""))))</f>
        <v>Moderado</v>
      </c>
      <c r="O44" s="111">
        <v>1</v>
      </c>
      <c r="P44" s="113" t="s">
        <v>328</v>
      </c>
      <c r="Q44" s="26" t="str">
        <f>IF(OR(R44="Preventivo",R44="Detectivo"),"Probabilidad",IF(R44="Correctivo","Impacto",""))</f>
        <v>Impacto</v>
      </c>
      <c r="R44" s="114" t="s">
        <v>228</v>
      </c>
      <c r="S44" s="114" t="s">
        <v>160</v>
      </c>
      <c r="T44" s="27" t="str">
        <f>IF(AND(R44="Preventivo",S44="Automático"),"50%",IF(AND(R44="Preventivo",S44="Manual"),"40%",IF(AND(R44="Detectivo",S44="Automático"),"40%",IF(AND(R44="Detectivo",S44="Manual"),"30%",IF(AND(R44="Correctivo",S44="Automático"),"35%",IF(AND(R44="Correctivo",S44="Manual"),"25%",""))))))</f>
        <v>25%</v>
      </c>
      <c r="U44" s="114" t="s">
        <v>186</v>
      </c>
      <c r="V44" s="114" t="s">
        <v>162</v>
      </c>
      <c r="W44" s="114" t="s">
        <v>163</v>
      </c>
      <c r="X44" s="121" t="s">
        <v>329</v>
      </c>
      <c r="Y44" s="115">
        <f>IFERROR(IF(Q44="Probabilidad",(K44-(+K44*T44)),IF(Q44="Impacto",K44,"")),"")</f>
        <v>0.6</v>
      </c>
      <c r="Z44" s="29" t="str">
        <f t="shared" ref="Z44:Z46" si="60">IFERROR(IF(Y44="","",IF(Y44&lt;=0.2,"Muy Baja",IF(Y44&lt;=0.4,"Baja",IF(Y44&lt;=0.6,"Media",IF(Y44&lt;=0.8,"Alta","Muy Alta"))))),"")</f>
        <v>Media</v>
      </c>
      <c r="AA44" s="27">
        <f>+Y44</f>
        <v>0.6</v>
      </c>
      <c r="AB44" s="29" t="str">
        <f>IFERROR(IF(AC44="","",IF(AC44&lt;=0.2,"Leve",IF(AC44&lt;=0.4,"Menor",IF(AC44&lt;=0.6,"Moderado",IF(AC44&lt;=0.8,"Mayor","Catastrófico"))))),"")</f>
        <v>Moderado</v>
      </c>
      <c r="AC44" s="27">
        <f>IFERROR(IF(Q44="Impacto",(M44-(+M44*T44)),IF(Q44="Probabilidad",M44,"")),"")</f>
        <v>0.44999999999999996</v>
      </c>
      <c r="AD44" s="313" t="str">
        <f>IFERROR(IF(AE44=0,"",IF(AND(AE44&gt;0,AE44&lt;=0.2),"Muy Baja",IF(AE44&lt;=0.4,"Baja",IF(AE44&lt;=0.6,"Media",IF(AE44&lt;=0.8,"Alta","Muy Alta"))))),"")</f>
        <v>Media</v>
      </c>
      <c r="AE44" s="300">
        <f>MIN(Y44:Y46)</f>
        <v>0.42</v>
      </c>
      <c r="AF44" s="313" t="str">
        <f>IFERROR(IF(AG44=0,"",IF(AND(AG44&gt;0,AG44&lt;=0.2),"Leve",IF(AG44&lt;=0.4,"Menor",IF(AG44&lt;=0.6,"Moderado",IF(AG44&lt;=0.8,"Mayor","Catastrófico"))))),"")</f>
        <v>Menor</v>
      </c>
      <c r="AG44" s="300">
        <f>MIN(AC44:AC46)</f>
        <v>0.33749999999999997</v>
      </c>
      <c r="AH44" s="317" t="str">
        <f>IFERROR(IF(OR(AND(AD44="Muy Baja",AF44="Leve"),AND(AD44="Muy Baja",AF44="Menor"),AND(AD44="Baja",AF44="Leve")),"Bajo",IF(OR(AND(AD44="Muy Baja",AF44="Moderado"),AND(AD44="Baja",AF44="Menor"),AND(AD44="Baja",AF44="Moderado"),AND(AD44="Media",AF44="Leve"),AND(AD44="Media",AF44="Menor"),AND(AD44="Media",AF44="Moderado"),AND(AD44="Alta",AF44="Leve"),AND(AD44="Alta",AF44="Menor")),"Moderado",IF(OR(AND(AD44="Muy Baja",AF44="Mayor"),AND(AD44="Baja",AF44="Mayor"),AND(AD44="Media",AF44="Mayor"),AND(AD44="Alta",AF44="Moderado"),AND(AD44="Alta",AF44="Mayor"),AND(AD44="Muy Alta",AF44="Leve"),AND(AD44="Muy Alta",AF44="Menor"),AND(AD44="Muy Alta",AF44="Moderado"),AND(AD44="Muy Alta",AF44="Mayor")),"Alto",IF(OR(AND(AD44="Muy Baja",AF44="Catastrófico"),AND(AD44="Baja",AF44="Catastrófico"),AND(AD44="Media",AF44="Catastrófico"),AND(AD44="Alta",AF44="Catastrófico"),AND(AD44="Muy Alta",AF44="Catastrófico")),"Extremo","")))),"")</f>
        <v>Moderado</v>
      </c>
      <c r="AI44" s="328" t="s">
        <v>165</v>
      </c>
      <c r="AJ44" s="116"/>
      <c r="AK44" s="279" t="s">
        <v>330</v>
      </c>
      <c r="AL44" s="279" t="s">
        <v>331</v>
      </c>
      <c r="AM44" s="450" t="s">
        <v>616</v>
      </c>
      <c r="AN44" s="286" t="s">
        <v>332</v>
      </c>
      <c r="AO44" s="279" t="s">
        <v>169</v>
      </c>
      <c r="AP44" s="279"/>
      <c r="AQ44" s="279" t="s">
        <v>169</v>
      </c>
      <c r="AR44" s="281"/>
      <c r="AS44" s="117"/>
      <c r="AT44" s="117"/>
      <c r="AU44" s="117"/>
      <c r="AV44" s="117"/>
      <c r="AW44" s="117"/>
      <c r="AX44" s="117"/>
      <c r="AY44" s="117"/>
      <c r="AZ44" s="117"/>
      <c r="BA44" s="117"/>
      <c r="BB44" s="117"/>
      <c r="BC44" s="117"/>
      <c r="BD44" s="117"/>
      <c r="BE44" s="117"/>
      <c r="BF44" s="117"/>
      <c r="BG44" s="117"/>
    </row>
    <row r="45" spans="1:59" s="118" customFormat="1" ht="52.2" customHeight="1" x14ac:dyDescent="0.25">
      <c r="A45" s="352"/>
      <c r="B45" s="353"/>
      <c r="C45" s="353"/>
      <c r="D45" s="325"/>
      <c r="E45" s="327"/>
      <c r="F45" s="327"/>
      <c r="G45" s="327"/>
      <c r="H45" s="112" t="s">
        <v>333</v>
      </c>
      <c r="I45" s="325"/>
      <c r="J45" s="322"/>
      <c r="K45" s="323"/>
      <c r="L45" s="322"/>
      <c r="M45" s="323"/>
      <c r="N45" s="344"/>
      <c r="O45" s="111">
        <v>2</v>
      </c>
      <c r="P45" s="113" t="s">
        <v>334</v>
      </c>
      <c r="Q45" s="26" t="str">
        <f>IF(OR(R45="Preventivo",R45="Detectivo"),"Probabilidad",IF(R45="Correctivo","Impacto",""))</f>
        <v>Probabilidad</v>
      </c>
      <c r="R45" s="114" t="s">
        <v>190</v>
      </c>
      <c r="S45" s="114" t="s">
        <v>160</v>
      </c>
      <c r="T45" s="27" t="str">
        <f t="shared" ref="T45:T46" si="61">IF(AND(R45="Preventivo",S45="Automático"),"50%",IF(AND(R45="Preventivo",S45="Manual"),"40%",IF(AND(R45="Detectivo",S45="Automático"),"40%",IF(AND(R45="Detectivo",S45="Manual"),"30%",IF(AND(R45="Correctivo",S45="Automático"),"35%",IF(AND(R45="Correctivo",S45="Manual"),"25%",""))))))</f>
        <v>30%</v>
      </c>
      <c r="U45" s="114" t="s">
        <v>186</v>
      </c>
      <c r="V45" s="114" t="s">
        <v>162</v>
      </c>
      <c r="W45" s="114" t="s">
        <v>163</v>
      </c>
      <c r="X45" s="111" t="s">
        <v>335</v>
      </c>
      <c r="Y45" s="115">
        <f>IFERROR(IF(AND(Q44="Probabilidad",Q45="Probabilidad"),(AA44-(+AA44*T45)),IF(Q45="Probabilidad",(K44-(+K44*T45)),IF(Q45="Impacto",AA44,""))),"")</f>
        <v>0.42</v>
      </c>
      <c r="Z45" s="29" t="str">
        <f t="shared" si="60"/>
        <v>Media</v>
      </c>
      <c r="AA45" s="27">
        <f t="shared" ref="AA45:AA46" si="62">+Y45</f>
        <v>0.42</v>
      </c>
      <c r="AB45" s="29" t="str">
        <f t="shared" ref="AB45:AB46" si="63">IFERROR(IF(AC45="","",IF(AC45&lt;=0.2,"Leve",IF(AC45&lt;=0.4,"Menor",IF(AC45&lt;=0.6,"Moderado",IF(AC45&lt;=0.8,"Mayor","Catastrófico"))))),"")</f>
        <v>Moderado</v>
      </c>
      <c r="AC45" s="27">
        <f>IFERROR(IF(AND(Q44="Impacto",Q45="Impacto"),(AC44-(+AC44*T45)),IF(Q45="Impacto",(#REF!-(+#REF!*T45)),IF(Q45="Probabilidad",AC44,""))),"")</f>
        <v>0.44999999999999996</v>
      </c>
      <c r="AD45" s="314"/>
      <c r="AE45" s="301"/>
      <c r="AF45" s="314"/>
      <c r="AG45" s="301"/>
      <c r="AH45" s="318"/>
      <c r="AI45" s="329"/>
      <c r="AJ45" s="119"/>
      <c r="AK45" s="280"/>
      <c r="AL45" s="280"/>
      <c r="AM45" s="451"/>
      <c r="AN45" s="287"/>
      <c r="AO45" s="280"/>
      <c r="AP45" s="280"/>
      <c r="AQ45" s="280"/>
      <c r="AR45" s="282"/>
      <c r="AS45" s="117"/>
      <c r="AT45" s="117"/>
      <c r="AU45" s="117"/>
      <c r="AV45" s="117"/>
      <c r="AW45" s="117"/>
      <c r="AX45" s="117"/>
      <c r="AY45" s="117"/>
      <c r="AZ45" s="117"/>
      <c r="BA45" s="117"/>
      <c r="BB45" s="117"/>
      <c r="BC45" s="117"/>
      <c r="BD45" s="117"/>
      <c r="BE45" s="117"/>
      <c r="BF45" s="117"/>
      <c r="BG45" s="117"/>
    </row>
    <row r="46" spans="1:59" s="118" customFormat="1" ht="122.25" customHeight="1" x14ac:dyDescent="0.25">
      <c r="A46" s="352"/>
      <c r="B46" s="353"/>
      <c r="C46" s="353"/>
      <c r="D46" s="325"/>
      <c r="E46" s="327"/>
      <c r="F46" s="327"/>
      <c r="G46" s="327"/>
      <c r="H46" s="112" t="s">
        <v>336</v>
      </c>
      <c r="I46" s="325"/>
      <c r="J46" s="322"/>
      <c r="K46" s="323"/>
      <c r="L46" s="322"/>
      <c r="M46" s="323"/>
      <c r="N46" s="344"/>
      <c r="O46" s="111">
        <v>3</v>
      </c>
      <c r="P46" s="120" t="s">
        <v>337</v>
      </c>
      <c r="Q46" s="26" t="str">
        <f t="shared" ref="Q46" si="64">IF(OR(R46="Preventivo",R46="Detectivo"),"Probabilidad",IF(R46="Correctivo","Impacto",""))</f>
        <v>Impacto</v>
      </c>
      <c r="R46" s="114" t="s">
        <v>228</v>
      </c>
      <c r="S46" s="114" t="s">
        <v>160</v>
      </c>
      <c r="T46" s="27" t="str">
        <f t="shared" si="61"/>
        <v>25%</v>
      </c>
      <c r="U46" s="114" t="s">
        <v>186</v>
      </c>
      <c r="V46" s="114" t="s">
        <v>162</v>
      </c>
      <c r="W46" s="114" t="s">
        <v>163</v>
      </c>
      <c r="X46" s="121" t="s">
        <v>338</v>
      </c>
      <c r="Y46" s="115">
        <f>IFERROR(IF(AND(Q45="Probabilidad",Q46="Probabilidad"),(AA45-(+AA45*T46)),IF(AND(Q45="Impacto",Q46="Probabilidad"),(AA44-(+AA44*T46)),IF(Q46="Impacto",AA45,""))),"")</f>
        <v>0.42</v>
      </c>
      <c r="Z46" s="29" t="str">
        <f t="shared" si="60"/>
        <v>Media</v>
      </c>
      <c r="AA46" s="27">
        <f t="shared" si="62"/>
        <v>0.42</v>
      </c>
      <c r="AB46" s="29" t="str">
        <f t="shared" si="63"/>
        <v>Menor</v>
      </c>
      <c r="AC46" s="27">
        <f>IFERROR(IF(AND(Q45="Impacto",Q46="Impacto"),(AC45-(+AC45*T46)),IF(AND(Q45="Probabilidad",Q46="Impacto"),(AC44-(+AC44*T46)),IF(Q46="Probabilidad",AC45,""))),"")</f>
        <v>0.33749999999999997</v>
      </c>
      <c r="AD46" s="314"/>
      <c r="AE46" s="301"/>
      <c r="AF46" s="314"/>
      <c r="AG46" s="301"/>
      <c r="AH46" s="318"/>
      <c r="AI46" s="329"/>
      <c r="AJ46" s="119"/>
      <c r="AK46" s="296"/>
      <c r="AL46" s="296"/>
      <c r="AM46" s="452"/>
      <c r="AN46" s="287"/>
      <c r="AO46" s="280"/>
      <c r="AP46" s="280"/>
      <c r="AQ46" s="280"/>
      <c r="AR46" s="282"/>
      <c r="AS46" s="117"/>
      <c r="AT46" s="117"/>
      <c r="AU46" s="117"/>
      <c r="AV46" s="117"/>
      <c r="AW46" s="117"/>
      <c r="AX46" s="117"/>
      <c r="AY46" s="117"/>
      <c r="AZ46" s="117"/>
      <c r="BA46" s="117"/>
      <c r="BB46" s="117"/>
      <c r="BC46" s="117"/>
      <c r="BD46" s="117"/>
      <c r="BE46" s="117"/>
      <c r="BF46" s="117"/>
      <c r="BG46" s="117"/>
    </row>
    <row r="47" spans="1:59" s="118" customFormat="1" ht="52.2" customHeight="1" x14ac:dyDescent="0.25">
      <c r="A47" s="352" t="s">
        <v>339</v>
      </c>
      <c r="B47" s="353" t="s">
        <v>340</v>
      </c>
      <c r="C47" s="353" t="s">
        <v>322</v>
      </c>
      <c r="D47" s="324" t="s">
        <v>341</v>
      </c>
      <c r="E47" s="324" t="s">
        <v>342</v>
      </c>
      <c r="F47" s="326" t="s">
        <v>343</v>
      </c>
      <c r="G47" s="326" t="s">
        <v>344</v>
      </c>
      <c r="H47" s="112" t="s">
        <v>345</v>
      </c>
      <c r="I47" s="353" t="s">
        <v>156</v>
      </c>
      <c r="J47" s="321" t="s">
        <v>157</v>
      </c>
      <c r="K47" s="323">
        <f>IF(J47="","",IF(J47="Muy Baja",0.2,IF(J47="Baja",0.4,IF(J47="Media",0.6,IF(J47="Alta",0.8,IF(J47="Muy Alta",1,))))))</f>
        <v>0.8</v>
      </c>
      <c r="L47" s="321" t="s">
        <v>274</v>
      </c>
      <c r="M47" s="323">
        <f>IF(L47="","",IF(L47="Leve",0.2,IF(L47="Menor",0.4,IF(L47="Moderado",0.6,IF(L47="Mayor",0.8,IF(L47="Catastrófico",1,))))))</f>
        <v>0.8</v>
      </c>
      <c r="N47" s="344" t="str">
        <f>IF(OR(AND(J47="Muy Baja",L47="Leve"),AND(J47="Muy Baja",L47="Menor"),AND(J47="Baja",L47="Leve")),"Bajo",IF(OR(AND(J47="Muy baja",L47="Moderado"),AND(J47="Baja",L47="Menor"),AND(J47="Baja",L47="Moderado"),AND(J47="Media",L47="Leve"),AND(J47="Media",L47="Menor"),AND(J47="Media",L47="Moderado"),AND(J47="Alta",L47="Leve"),AND(J47="Alta",L47="Menor")),"Moderado",IF(OR(AND(J47="Muy Baja",L47="Mayor"),AND(J47="Baja",L47="Mayor"),AND(J47="Media",L47="Mayor"),AND(J47="Alta",L47="Moderado"),AND(J47="Alta",L47="Mayor"),AND(J47="Muy Alta",L47="Leve"),AND(J47="Muy Alta",L47="Menor"),AND(J47="Muy Alta",L47="Moderado"),AND(J47="Muy Alta",L47="Mayor")),"Alto",IF(OR(AND(J47="Muy Baja",L47="Catastrófico"),AND(J47="Baja",L47="Catastrófico"),AND(J47="Media",L47="Catastrófico"),AND(J47="Alta",L47="Catastrófico"),AND(J47="Muy Alta",L47="Catastrófico")),"Extremo",""))))</f>
        <v>Alto</v>
      </c>
      <c r="O47" s="111">
        <v>1</v>
      </c>
      <c r="P47" s="113" t="s">
        <v>346</v>
      </c>
      <c r="Q47" s="26" t="str">
        <f>IF(OR(R47="Preventivo",R47="Detectivo"),"Probabilidad",IF(R47="Correctivo","Impacto",""))</f>
        <v>Probabilidad</v>
      </c>
      <c r="R47" s="114" t="s">
        <v>159</v>
      </c>
      <c r="S47" s="114" t="s">
        <v>160</v>
      </c>
      <c r="T47" s="27" t="str">
        <f>IF(AND(R47="Preventivo",S47="Automático"),"50%",IF(AND(R47="Preventivo",S47="Manual"),"40%",IF(AND(R47="Detectivo",S47="Automático"),"40%",IF(AND(R47="Detectivo",S47="Manual"),"30%",IF(AND(R47="Correctivo",S47="Automático"),"35%",IF(AND(R47="Correctivo",S47="Manual"),"25%",""))))))</f>
        <v>40%</v>
      </c>
      <c r="U47" s="114" t="s">
        <v>161</v>
      </c>
      <c r="V47" s="114" t="s">
        <v>162</v>
      </c>
      <c r="W47" s="114" t="s">
        <v>163</v>
      </c>
      <c r="X47" s="111" t="s">
        <v>347</v>
      </c>
      <c r="Y47" s="85">
        <f>IFERROR(IF(Q47="Probabilidad",(K47-(+K47*T47)),IF(Q47="Impacto",K47,"")),"")</f>
        <v>0.48</v>
      </c>
      <c r="Z47" s="29" t="str">
        <f t="shared" ref="Z47:Z51" si="65">IFERROR(IF(Y47="","",IF(Y47&lt;=0.2,"Muy Baja",IF(Y47&lt;=0.4,"Baja",IF(Y47&lt;=0.6,"Media",IF(Y47&lt;=0.8,"Alta","Muy Alta"))))),"")</f>
        <v>Media</v>
      </c>
      <c r="AA47" s="27">
        <f>+Y47</f>
        <v>0.48</v>
      </c>
      <c r="AB47" s="29" t="str">
        <f>IFERROR(IF(AC47="","",IF(AC47&lt;=0.2,"Leve",IF(AC47&lt;=0.4,"Menor",IF(AC47&lt;=0.6,"Moderado",IF(AC47&lt;=0.8,"Mayor","Catastrófico"))))),"")</f>
        <v>Mayor</v>
      </c>
      <c r="AC47" s="27">
        <f>IFERROR(IF(Q47="Impacto",(M47-(+M47*T47)),IF(Q47="Probabilidad",M47,"")),"")</f>
        <v>0.8</v>
      </c>
      <c r="AD47" s="313" t="str">
        <f>IFERROR(IF(AE47=0,"",IF(AND(AE47&gt;0,AE47&lt;=0.2),"Muy Baja",IF(AE47&lt;=0.4,"Baja",IF(AE47&lt;=0.6,"Media",IF(AE47&lt;=0.8,"Alta","Muy Alta"))))),"")</f>
        <v>Baja</v>
      </c>
      <c r="AE47" s="300">
        <f>MIN(Y47:Y51)</f>
        <v>0.28799999999999998</v>
      </c>
      <c r="AF47" s="313" t="str">
        <f>IFERROR(IF(AG47=0,"",IF(AND(AG47&gt;0,AG47&lt;=0.2),"Leve",IF(AG47&lt;=0.4,"Menor",IF(AG47&lt;=0.6,"Moderado",IF(AG47&lt;=0.8,"Mayor","Catastrófico"))))),"")</f>
        <v>Moderado</v>
      </c>
      <c r="AG47" s="300">
        <f>MIN(AC47:AC51)</f>
        <v>0.44999999999999996</v>
      </c>
      <c r="AH47" s="317" t="str">
        <f>IFERROR(IF(OR(AND(AD47="Muy Baja",AF47="Leve"),AND(AD47="Muy Baja",AF47="Menor"),AND(AD47="Baja",AF47="Leve")),"Bajo",IF(OR(AND(AD47="Muy Baja",AF47="Moderado"),AND(AD47="Baja",AF47="Menor"),AND(AD47="Baja",AF47="Moderado"),AND(AD47="Media",AF47="Leve"),AND(AD47="Media",AF47="Menor"),AND(AD47="Media",AF47="Moderado"),AND(AD47="Alta",AF47="Leve"),AND(AD47="Alta",AF47="Menor")),"Moderado",IF(OR(AND(AD47="Muy Baja",AF47="Mayor"),AND(AD47="Baja",AF47="Mayor"),AND(AD47="Media",AF47="Mayor"),AND(AD47="Alta",AF47="Moderado"),AND(AD47="Alta",AF47="Mayor"),AND(AD47="Muy Alta",AF47="Leve"),AND(AD47="Muy Alta",AF47="Menor"),AND(AD47="Muy Alta",AF47="Moderado"),AND(AD47="Muy Alta",AF47="Mayor")),"Alto",IF(OR(AND(AD47="Muy Baja",AF47="Catastrófico"),AND(AD47="Baja",AF47="Catastrófico"),AND(AD47="Media",AF47="Catastrófico"),AND(AD47="Alta",AF47="Catastrófico"),AND(AD47="Muy Alta",AF47="Catastrófico")),"Extremo","")))),"")</f>
        <v>Moderado</v>
      </c>
      <c r="AI47" s="328"/>
      <c r="AJ47" s="116"/>
      <c r="AK47" s="279" t="s">
        <v>348</v>
      </c>
      <c r="AL47" s="279" t="s">
        <v>331</v>
      </c>
      <c r="AM47" s="440" t="s">
        <v>617</v>
      </c>
      <c r="AN47" s="286" t="s">
        <v>349</v>
      </c>
      <c r="AO47" s="279" t="s">
        <v>169</v>
      </c>
      <c r="AP47" s="279"/>
      <c r="AQ47" s="279" t="s">
        <v>169</v>
      </c>
      <c r="AR47" s="279"/>
      <c r="AS47" s="117"/>
      <c r="AT47" s="117"/>
      <c r="AU47" s="117"/>
      <c r="AV47" s="117"/>
      <c r="AW47" s="117"/>
      <c r="AX47" s="117"/>
      <c r="AY47" s="117"/>
      <c r="AZ47" s="117"/>
      <c r="BA47" s="117"/>
      <c r="BB47" s="117"/>
      <c r="BC47" s="117"/>
      <c r="BD47" s="117"/>
      <c r="BE47" s="117"/>
      <c r="BF47" s="117"/>
      <c r="BG47" s="117"/>
    </row>
    <row r="48" spans="1:59" s="118" customFormat="1" ht="88.2" customHeight="1" x14ac:dyDescent="0.25">
      <c r="A48" s="352"/>
      <c r="B48" s="353"/>
      <c r="C48" s="353"/>
      <c r="D48" s="325"/>
      <c r="E48" s="325"/>
      <c r="F48" s="327"/>
      <c r="G48" s="327"/>
      <c r="H48" s="112" t="s">
        <v>350</v>
      </c>
      <c r="I48" s="353"/>
      <c r="J48" s="322"/>
      <c r="K48" s="323"/>
      <c r="L48" s="322"/>
      <c r="M48" s="323"/>
      <c r="N48" s="344"/>
      <c r="O48" s="111">
        <v>2</v>
      </c>
      <c r="P48" s="113" t="s">
        <v>351</v>
      </c>
      <c r="Q48" s="26" t="str">
        <f>IF(OR(R48="Preventivo",R48="Detectivo"),"Probabilidad",IF(R48="Correctivo","Impacto",""))</f>
        <v>Impacto</v>
      </c>
      <c r="R48" s="114" t="s">
        <v>228</v>
      </c>
      <c r="S48" s="114" t="s">
        <v>160</v>
      </c>
      <c r="T48" s="27" t="str">
        <f t="shared" ref="T48:T60" si="66">IF(AND(R48="Preventivo",S48="Automático"),"50%",IF(AND(R48="Preventivo",S48="Manual"),"40%",IF(AND(R48="Detectivo",S48="Automático"),"40%",IF(AND(R48="Detectivo",S48="Manual"),"30%",IF(AND(R48="Correctivo",S48="Automático"),"35%",IF(AND(R48="Correctivo",S48="Manual"),"25%",""))))))</f>
        <v>25%</v>
      </c>
      <c r="U48" s="114" t="s">
        <v>186</v>
      </c>
      <c r="V48" s="114" t="s">
        <v>162</v>
      </c>
      <c r="W48" s="114" t="s">
        <v>163</v>
      </c>
      <c r="X48" s="121" t="s">
        <v>352</v>
      </c>
      <c r="Y48" s="85">
        <f>IFERROR(IF(AND(Q47="Probabilidad",Q48="Probabilidad"),(AA47-(+AA47*T48)),IF(Q48="Probabilidad",(K47-(+K47*T48)),IF(Q48="Impacto",AA47,""))),"")</f>
        <v>0.48</v>
      </c>
      <c r="Z48" s="29" t="str">
        <f t="shared" si="65"/>
        <v>Media</v>
      </c>
      <c r="AA48" s="27">
        <f t="shared" ref="AA48:AA51" si="67">+Y48</f>
        <v>0.48</v>
      </c>
      <c r="AB48" s="29" t="str">
        <f t="shared" ref="AB48:AB51" si="68">IFERROR(IF(AC48="","",IF(AC48&lt;=0.2,"Leve",IF(AC48&lt;=0.4,"Menor",IF(AC48&lt;=0.6,"Moderado",IF(AC48&lt;=0.8,"Mayor","Catastrófico"))))),"")</f>
        <v>Moderado</v>
      </c>
      <c r="AC48" s="27">
        <f>IFERROR(IF(AND(Q47="Impacto",Q48="Impacto"),(AC47-(+AC47*T48)),IF(Q48="Impacto",($M$15-(+$M$15*T48)),IF(Q48="Probabilidad",AC47,""))),"")</f>
        <v>0.44999999999999996</v>
      </c>
      <c r="AD48" s="314"/>
      <c r="AE48" s="301"/>
      <c r="AF48" s="314"/>
      <c r="AG48" s="301"/>
      <c r="AH48" s="318"/>
      <c r="AI48" s="329"/>
      <c r="AJ48" s="119"/>
      <c r="AK48" s="280"/>
      <c r="AL48" s="280"/>
      <c r="AM48" s="441"/>
      <c r="AN48" s="287"/>
      <c r="AO48" s="280"/>
      <c r="AP48" s="280"/>
      <c r="AQ48" s="280"/>
      <c r="AR48" s="280"/>
      <c r="AS48" s="117"/>
      <c r="AT48" s="117"/>
      <c r="AU48" s="117"/>
      <c r="AV48" s="117"/>
      <c r="AW48" s="117"/>
      <c r="AX48" s="117"/>
      <c r="AY48" s="117"/>
      <c r="AZ48" s="117"/>
      <c r="BA48" s="117"/>
      <c r="BB48" s="117"/>
      <c r="BC48" s="117"/>
      <c r="BD48" s="117"/>
      <c r="BE48" s="117"/>
      <c r="BF48" s="117"/>
      <c r="BG48" s="117"/>
    </row>
    <row r="49" spans="1:59" s="118" customFormat="1" ht="74.400000000000006" customHeight="1" x14ac:dyDescent="0.25">
      <c r="A49" s="352"/>
      <c r="B49" s="353"/>
      <c r="C49" s="353"/>
      <c r="D49" s="325"/>
      <c r="E49" s="325"/>
      <c r="F49" s="327"/>
      <c r="G49" s="327"/>
      <c r="H49" s="112" t="s">
        <v>353</v>
      </c>
      <c r="I49" s="353"/>
      <c r="J49" s="322"/>
      <c r="K49" s="323"/>
      <c r="L49" s="322"/>
      <c r="M49" s="323"/>
      <c r="N49" s="344"/>
      <c r="O49" s="111">
        <v>3</v>
      </c>
      <c r="P49" s="113" t="s">
        <v>354</v>
      </c>
      <c r="Q49" s="26" t="str">
        <f t="shared" ref="Q49:Q60" si="69">IF(OR(R49="Preventivo",R49="Detectivo"),"Probabilidad",IF(R49="Correctivo","Impacto",""))</f>
        <v>Probabilidad</v>
      </c>
      <c r="R49" s="114" t="s">
        <v>159</v>
      </c>
      <c r="S49" s="114" t="s">
        <v>160</v>
      </c>
      <c r="T49" s="27" t="str">
        <f t="shared" si="66"/>
        <v>40%</v>
      </c>
      <c r="U49" s="114" t="s">
        <v>186</v>
      </c>
      <c r="V49" s="114" t="s">
        <v>162</v>
      </c>
      <c r="W49" s="114" t="s">
        <v>163</v>
      </c>
      <c r="X49" s="121" t="s">
        <v>355</v>
      </c>
      <c r="Y49" s="115">
        <f>IFERROR(IF(AND(Q48="Probabilidad",Q49="Probabilidad"),(AA48-(+AA48*T49)),IF(AND(Q48="Impacto",Q49="Probabilidad"),(AC47-(+AC47*T49)),IF(Q49="Impacto",AA48,""))),"")</f>
        <v>0.48</v>
      </c>
      <c r="Z49" s="29" t="str">
        <f t="shared" ref="Z49" si="70">IFERROR(IF(Y49="","",IF(Y49&lt;=0.2,"Muy Baja",IF(Y49&lt;=0.4,"Baja",IF(Y49&lt;=0.6,"Media",IF(Y49&lt;=0.8,"Alta","Muy Alta"))))),"")</f>
        <v>Media</v>
      </c>
      <c r="AA49" s="27">
        <f t="shared" si="67"/>
        <v>0.48</v>
      </c>
      <c r="AB49" s="29" t="str">
        <f t="shared" si="68"/>
        <v>Moderado</v>
      </c>
      <c r="AC49" s="27">
        <f>IFERROR(IF(AND(Q48="Impacto",Q49="Impacto"),(AC48-(+AC48*T49)),IF(AND(Q48="Probabilidad",Q49="Impacto"),(AC47-(+AC47*T49)),IF(Q49="Probabilidad",AC48,""))),"")</f>
        <v>0.44999999999999996</v>
      </c>
      <c r="AD49" s="314"/>
      <c r="AE49" s="301"/>
      <c r="AF49" s="314"/>
      <c r="AG49" s="301"/>
      <c r="AH49" s="318"/>
      <c r="AI49" s="329"/>
      <c r="AJ49" s="119"/>
      <c r="AK49" s="280"/>
      <c r="AL49" s="280"/>
      <c r="AM49" s="441"/>
      <c r="AN49" s="287"/>
      <c r="AO49" s="280"/>
      <c r="AP49" s="280"/>
      <c r="AQ49" s="280"/>
      <c r="AR49" s="280"/>
      <c r="AS49" s="117"/>
      <c r="AT49" s="117"/>
      <c r="AU49" s="117"/>
      <c r="AV49" s="117"/>
      <c r="AW49" s="117"/>
      <c r="AX49" s="117"/>
      <c r="AY49" s="117"/>
      <c r="AZ49" s="117"/>
      <c r="BA49" s="117"/>
      <c r="BB49" s="117"/>
      <c r="BC49" s="117"/>
      <c r="BD49" s="117"/>
      <c r="BE49" s="117"/>
      <c r="BF49" s="117"/>
      <c r="BG49" s="117"/>
    </row>
    <row r="50" spans="1:59" s="118" customFormat="1" ht="52.2" customHeight="1" x14ac:dyDescent="0.25">
      <c r="A50" s="352"/>
      <c r="B50" s="353"/>
      <c r="C50" s="353"/>
      <c r="D50" s="325"/>
      <c r="E50" s="325"/>
      <c r="F50" s="327"/>
      <c r="G50" s="327"/>
      <c r="H50" s="112" t="s">
        <v>356</v>
      </c>
      <c r="I50" s="353"/>
      <c r="J50" s="322"/>
      <c r="K50" s="323"/>
      <c r="L50" s="322"/>
      <c r="M50" s="323"/>
      <c r="N50" s="344"/>
      <c r="O50" s="111">
        <v>4</v>
      </c>
      <c r="P50" s="113" t="s">
        <v>357</v>
      </c>
      <c r="Q50" s="26" t="str">
        <f t="shared" si="69"/>
        <v>Probabilidad</v>
      </c>
      <c r="R50" s="114" t="s">
        <v>159</v>
      </c>
      <c r="S50" s="114" t="s">
        <v>160</v>
      </c>
      <c r="T50" s="27" t="str">
        <f t="shared" si="66"/>
        <v>40%</v>
      </c>
      <c r="U50" s="114" t="s">
        <v>186</v>
      </c>
      <c r="V50" s="114" t="s">
        <v>162</v>
      </c>
      <c r="W50" s="114" t="s">
        <v>163</v>
      </c>
      <c r="X50" s="121" t="s">
        <v>358</v>
      </c>
      <c r="Y50" s="85">
        <f>IFERROR(IF(AND(Q49="Probabilidad",Q50="Probabilidad"),(AA49-(+AA49*T50)),IF(AND(Q49="Impacto",Q50="Probabilidad"),(#REF!-(+#REF!*T50)),IF(Q50="Impacto",AA49,""))),"")</f>
        <v>0.28799999999999998</v>
      </c>
      <c r="Z50" s="29" t="str">
        <f t="shared" si="65"/>
        <v>Baja</v>
      </c>
      <c r="AA50" s="27">
        <f t="shared" si="67"/>
        <v>0.28799999999999998</v>
      </c>
      <c r="AB50" s="29" t="str">
        <f t="shared" si="68"/>
        <v>Moderado</v>
      </c>
      <c r="AC50" s="27">
        <f>IFERROR(IF(AND(Q49="Impacto",Q50="Impacto"),(AC49-(+AC49*T50)),IF(AND(Q49="Probabilidad",Q50="Impacto"),(#REF!-(+#REF!*T50)),IF(Q50="Probabilidad",AC49,""))),"")</f>
        <v>0.44999999999999996</v>
      </c>
      <c r="AD50" s="314"/>
      <c r="AE50" s="301"/>
      <c r="AF50" s="314"/>
      <c r="AG50" s="301"/>
      <c r="AH50" s="318"/>
      <c r="AI50" s="329"/>
      <c r="AJ50" s="119"/>
      <c r="AK50" s="280"/>
      <c r="AL50" s="280"/>
      <c r="AM50" s="441"/>
      <c r="AN50" s="287"/>
      <c r="AO50" s="280"/>
      <c r="AP50" s="280"/>
      <c r="AQ50" s="280"/>
      <c r="AR50" s="280"/>
      <c r="AS50" s="117"/>
      <c r="AT50" s="117"/>
      <c r="AU50" s="117"/>
      <c r="AV50" s="117"/>
      <c r="AW50" s="117"/>
      <c r="AX50" s="117"/>
      <c r="AY50" s="117"/>
      <c r="AZ50" s="117"/>
      <c r="BA50" s="117"/>
      <c r="BB50" s="117"/>
      <c r="BC50" s="117"/>
      <c r="BD50" s="117"/>
      <c r="BE50" s="117"/>
      <c r="BF50" s="117"/>
      <c r="BG50" s="117"/>
    </row>
    <row r="51" spans="1:59" s="118" customFormat="1" ht="78" customHeight="1" x14ac:dyDescent="0.25">
      <c r="A51" s="352"/>
      <c r="B51" s="353"/>
      <c r="C51" s="353"/>
      <c r="D51" s="334"/>
      <c r="E51" s="334"/>
      <c r="F51" s="351"/>
      <c r="G51" s="351"/>
      <c r="H51" s="112"/>
      <c r="I51" s="353"/>
      <c r="J51" s="322"/>
      <c r="K51" s="323"/>
      <c r="L51" s="322"/>
      <c r="M51" s="323"/>
      <c r="N51" s="344"/>
      <c r="O51" s="111"/>
      <c r="P51" s="113"/>
      <c r="Q51" s="26" t="str">
        <f t="shared" si="69"/>
        <v/>
      </c>
      <c r="R51" s="114"/>
      <c r="S51" s="114"/>
      <c r="T51" s="27" t="str">
        <f t="shared" si="66"/>
        <v/>
      </c>
      <c r="U51" s="114"/>
      <c r="V51" s="114"/>
      <c r="W51" s="114"/>
      <c r="X51" s="111"/>
      <c r="Y51" s="85" t="str">
        <f t="shared" ref="Y51" si="71">IFERROR(IF(AND(Q50="Probabilidad",Q51="Probabilidad"),(AA50-(+AA50*T51)),IF(AND(Q50="Impacto",Q51="Probabilidad"),(AA49-(+AA49*T51)),IF(Q51="Impacto",AA50,""))),"")</f>
        <v/>
      </c>
      <c r="Z51" s="29" t="str">
        <f t="shared" si="65"/>
        <v/>
      </c>
      <c r="AA51" s="27" t="str">
        <f t="shared" si="67"/>
        <v/>
      </c>
      <c r="AB51" s="29" t="str">
        <f t="shared" si="68"/>
        <v/>
      </c>
      <c r="AC51" s="27" t="str">
        <f t="shared" ref="AC51" si="72">IFERROR(IF(AND(Q50="Impacto",Q51="Impacto"),(AC50-(+AC50*T51)),IF(AND(Q50="Probabilidad",Q51="Impacto"),(AC49-(+AC49*T51)),IF(Q51="Probabilidad",AC50,""))),"")</f>
        <v/>
      </c>
      <c r="AD51" s="314"/>
      <c r="AE51" s="301"/>
      <c r="AF51" s="314"/>
      <c r="AG51" s="301"/>
      <c r="AH51" s="318"/>
      <c r="AI51" s="329"/>
      <c r="AJ51" s="119"/>
      <c r="AK51" s="296"/>
      <c r="AL51" s="296"/>
      <c r="AM51" s="442"/>
      <c r="AN51" s="288"/>
      <c r="AO51" s="296"/>
      <c r="AP51" s="296"/>
      <c r="AQ51" s="296"/>
      <c r="AR51" s="296"/>
      <c r="AS51" s="117"/>
      <c r="AT51" s="117"/>
      <c r="AU51" s="117"/>
      <c r="AV51" s="117"/>
      <c r="AW51" s="117"/>
      <c r="AX51" s="117"/>
      <c r="AY51" s="117"/>
      <c r="AZ51" s="117"/>
      <c r="BA51" s="117"/>
      <c r="BB51" s="117"/>
      <c r="BC51" s="117"/>
      <c r="BD51" s="117"/>
      <c r="BE51" s="117"/>
      <c r="BF51" s="117"/>
      <c r="BG51" s="117"/>
    </row>
    <row r="52" spans="1:59" s="118" customFormat="1" ht="58.5" customHeight="1" x14ac:dyDescent="0.25">
      <c r="A52" s="352" t="s">
        <v>359</v>
      </c>
      <c r="B52" s="354" t="s">
        <v>360</v>
      </c>
      <c r="C52" s="353" t="s">
        <v>361</v>
      </c>
      <c r="D52" s="324" t="s">
        <v>323</v>
      </c>
      <c r="E52" s="324" t="s">
        <v>362</v>
      </c>
      <c r="F52" s="326" t="s">
        <v>363</v>
      </c>
      <c r="G52" s="326" t="s">
        <v>364</v>
      </c>
      <c r="H52" s="112" t="s">
        <v>365</v>
      </c>
      <c r="I52" s="324" t="s">
        <v>156</v>
      </c>
      <c r="J52" s="321" t="s">
        <v>366</v>
      </c>
      <c r="K52" s="323">
        <f>IF(J52="","",IF(J52="Muy Baja",0.2,IF(J52="Baja",0.4,IF(J52="Media",0.6,IF(J52="Alta",0.8,IF(J52="Muy Alta",1,))))))</f>
        <v>0.4</v>
      </c>
      <c r="L52" s="321" t="s">
        <v>274</v>
      </c>
      <c r="M52" s="323">
        <f>IF(L52="","",IF(L52="Leve",0.2,IF(L52="Menor",0.4,IF(L52="Moderado",0.6,IF(L52="Mayor",0.8,IF(L52="Catastrófico",1,))))))</f>
        <v>0.8</v>
      </c>
      <c r="N52" s="344" t="str">
        <f>IF(OR(AND(J52="Muy Baja",L52="Leve"),AND(J52="Muy Baja",L52="Menor"),AND(J52="Baja",L52="Leve")),"Bajo",IF(OR(AND(J52="Muy baja",L52="Moderado"),AND(J52="Baja",L52="Menor"),AND(J52="Baja",L52="Moderado"),AND(J52="Media",L52="Leve"),AND(J52="Media",L52="Menor"),AND(J52="Media",L52="Moderado"),AND(J52="Alta",L52="Leve"),AND(J52="Alta",L52="Menor")),"Moderado",IF(OR(AND(J52="Muy Baja",L52="Mayor"),AND(J52="Baja",L52="Mayor"),AND(J52="Media",L52="Mayor"),AND(J52="Alta",L52="Moderado"),AND(J52="Alta",L52="Mayor"),AND(J52="Muy Alta",L52="Leve"),AND(J52="Muy Alta",L52="Menor"),AND(J52="Muy Alta",L52="Moderado"),AND(J52="Muy Alta",L52="Mayor")),"Alto",IF(OR(AND(J52="Muy Baja",L52="Catastrófico"),AND(J52="Baja",L52="Catastrófico"),AND(J52="Media",L52="Catastrófico"),AND(J52="Alta",L52="Catastrófico"),AND(J52="Muy Alta",L52="Catastrófico")),"Extremo",""))))</f>
        <v>Alto</v>
      </c>
      <c r="O52" s="341">
        <v>1</v>
      </c>
      <c r="P52" s="324" t="s">
        <v>367</v>
      </c>
      <c r="Q52" s="324" t="str">
        <f>IF(OR(R52="Preventivo",R52="Detectivo"),"Probabilidad",IF(R52="Correctivo","Impacto",""))</f>
        <v>Impacto</v>
      </c>
      <c r="R52" s="324" t="s">
        <v>228</v>
      </c>
      <c r="S52" s="324" t="s">
        <v>160</v>
      </c>
      <c r="T52" s="324" t="str">
        <f>IF(AND(R52="Preventivo",S52="Automático"),"50%",IF(AND(R52="Preventivo",S52="Manual"),"40%",IF(AND(R52="Detectivo",S52="Automático"),"40%",IF(AND(R52="Detectivo",S52="Manual"),"30%",IF(AND(R52="Correctivo",S52="Automático"),"35%",IF(AND(R52="Correctivo",S52="Manual"),"25%",""))))))</f>
        <v>25%</v>
      </c>
      <c r="U52" s="324" t="s">
        <v>186</v>
      </c>
      <c r="V52" s="324" t="s">
        <v>162</v>
      </c>
      <c r="W52" s="324" t="s">
        <v>163</v>
      </c>
      <c r="X52" s="324" t="s">
        <v>368</v>
      </c>
      <c r="Y52" s="335">
        <f>IFERROR(IF(Q52="Probabilidad",(K52-(+K52*T52)),IF(Q52="Impacto",K52,"")),"")</f>
        <v>0.4</v>
      </c>
      <c r="Z52" s="313" t="str">
        <f>IFERROR(IF(Y52="","",IF(Y52&lt;=0.2,"Muy Baja",IF(Y52&lt;=0.4,"Baja",IF(Y52&lt;=0.6,"Media",IF(Y52&lt;=0.8,"Alta","Muy Alta"))))),"")</f>
        <v>Baja</v>
      </c>
      <c r="AA52" s="338">
        <f>+Y52</f>
        <v>0.4</v>
      </c>
      <c r="AB52" s="313" t="str">
        <f>IFERROR(IF(AC52="","",IF(AC52&lt;=0.2,"Leve",IF(AC52&lt;=0.4,"Menor",IF(AC52&lt;=0.6,"Moderado",IF(AC52&lt;=0.8,"Mayor","Catastrófico"))))),"")</f>
        <v>Moderado</v>
      </c>
      <c r="AC52" s="338">
        <f>IFERROR(IF(Q52="Impacto",(M52-(+M52*T52)),IF(Q52="Probabilidad",M52,"")),"")</f>
        <v>0.60000000000000009</v>
      </c>
      <c r="AD52" s="313" t="str">
        <f>IFERROR(IF(AE52=0,"",IF(AND(AE52&gt;0,AE52&lt;=0.2),"Muy Baja",IF(AE52&lt;=0.4,"Baja",IF(AE52&lt;=0.6,"Media",IF(AE52&lt;=0.8,"Alta","Muy Alta"))))),"")</f>
        <v>Baja</v>
      </c>
      <c r="AE52" s="300">
        <f>MIN(Y52:Y54)</f>
        <v>0.4</v>
      </c>
      <c r="AF52" s="313" t="str">
        <f>IFERROR(IF(AG52=0,"",IF(AND(AG52&gt;0,AG52&lt;=0.2),"Leve",IF(AG52&lt;=0.4,"Menor",IF(AG52&lt;=0.6,"Moderado",IF(AG52&lt;=0.8,"Mayor","Catastrófico"))))),"")</f>
        <v>Moderado</v>
      </c>
      <c r="AG52" s="300">
        <f>MIN(AC52:AC54)</f>
        <v>0.60000000000000009</v>
      </c>
      <c r="AH52" s="317" t="str">
        <f>IFERROR(IF(OR(AND(AD52="Muy Baja",AF52="Leve"),AND(AD52="Muy Baja",AF52="Menor"),AND(AD52="Baja",AF52="Leve")),"Bajo",IF(OR(AND(AD52="Muy Baja",AF52="Moderado"),AND(AD52="Baja",AF52="Menor"),AND(AD52="Baja",AF52="Moderado"),AND(AD52="Media",AF52="Leve"),AND(AD52="Media",AF52="Menor"),AND(AD52="Media",AF52="Moderado"),AND(AD52="Alta",AF52="Leve"),AND(AD52="Alta",AF52="Menor")),"Moderado",IF(OR(AND(AD52="Muy Baja",AF52="Mayor"),AND(AD52="Baja",AF52="Mayor"),AND(AD52="Media",AF52="Mayor"),AND(AD52="Alta",AF52="Moderado"),AND(AD52="Alta",AF52="Mayor"),AND(AD52="Muy Alta",AF52="Leve"),AND(AD52="Muy Alta",AF52="Menor"),AND(AD52="Muy Alta",AF52="Moderado"),AND(AD52="Muy Alta",AF52="Mayor")),"Alto",IF(OR(AND(AD52="Muy Baja",AF52="Catastrófico"),AND(AD52="Baja",AF52="Catastrófico"),AND(AD52="Media",AF52="Catastrófico"),AND(AD52="Alta",AF52="Catastrófico"),AND(AD52="Muy Alta",AF52="Catastrófico")),"Extremo","")))),"")</f>
        <v>Moderado</v>
      </c>
      <c r="AI52" s="328" t="s">
        <v>165</v>
      </c>
      <c r="AJ52" s="116"/>
      <c r="AK52" s="279" t="s">
        <v>369</v>
      </c>
      <c r="AL52" s="279" t="s">
        <v>370</v>
      </c>
      <c r="AM52" s="279" t="s">
        <v>618</v>
      </c>
      <c r="AN52" s="279" t="s">
        <v>371</v>
      </c>
      <c r="AO52" s="279" t="s">
        <v>169</v>
      </c>
      <c r="AP52" s="279"/>
      <c r="AQ52" s="279" t="s">
        <v>169</v>
      </c>
      <c r="AR52" s="281"/>
      <c r="AS52" s="117"/>
      <c r="AT52" s="117"/>
      <c r="AU52" s="117"/>
      <c r="AV52" s="117"/>
      <c r="AW52" s="117"/>
      <c r="AX52" s="117"/>
      <c r="AY52" s="117"/>
      <c r="AZ52" s="117"/>
      <c r="BA52" s="117"/>
      <c r="BB52" s="117"/>
      <c r="BC52" s="117"/>
      <c r="BD52" s="117"/>
      <c r="BE52" s="117"/>
      <c r="BF52" s="117"/>
      <c r="BG52" s="117"/>
    </row>
    <row r="53" spans="1:59" s="118" customFormat="1" ht="77.400000000000006" customHeight="1" x14ac:dyDescent="0.25">
      <c r="A53" s="352"/>
      <c r="B53" s="354"/>
      <c r="C53" s="353"/>
      <c r="D53" s="325"/>
      <c r="E53" s="325"/>
      <c r="F53" s="327"/>
      <c r="G53" s="327"/>
      <c r="H53" s="112" t="s">
        <v>372</v>
      </c>
      <c r="I53" s="325"/>
      <c r="J53" s="322"/>
      <c r="K53" s="323"/>
      <c r="L53" s="322"/>
      <c r="M53" s="323"/>
      <c r="N53" s="344"/>
      <c r="O53" s="342"/>
      <c r="P53" s="325"/>
      <c r="Q53" s="325" t="str">
        <f>IF(OR(R53="Preventivo",R53="Detectivo"),"Probabilidad",IF(R53="Correctivo","Impacto",""))</f>
        <v/>
      </c>
      <c r="R53" s="325"/>
      <c r="S53" s="325"/>
      <c r="T53" s="325" t="str">
        <f t="shared" ref="T53:T54" si="73">IF(AND(R53="Preventivo",S53="Automático"),"50%",IF(AND(R53="Preventivo",S53="Manual"),"40%",IF(AND(R53="Detectivo",S53="Automático"),"40%",IF(AND(R53="Detectivo",S53="Manual"),"30%",IF(AND(R53="Correctivo",S53="Automático"),"35%",IF(AND(R53="Correctivo",S53="Manual"),"25%",""))))))</f>
        <v/>
      </c>
      <c r="U53" s="325"/>
      <c r="V53" s="325"/>
      <c r="W53" s="325"/>
      <c r="X53" s="325"/>
      <c r="Y53" s="336"/>
      <c r="Z53" s="314"/>
      <c r="AA53" s="339"/>
      <c r="AB53" s="314"/>
      <c r="AC53" s="339"/>
      <c r="AD53" s="314"/>
      <c r="AE53" s="301"/>
      <c r="AF53" s="314"/>
      <c r="AG53" s="301"/>
      <c r="AH53" s="318"/>
      <c r="AI53" s="329"/>
      <c r="AJ53" s="119"/>
      <c r="AK53" s="280"/>
      <c r="AL53" s="280"/>
      <c r="AM53" s="280"/>
      <c r="AN53" s="280"/>
      <c r="AO53" s="280"/>
      <c r="AP53" s="280"/>
      <c r="AQ53" s="280"/>
      <c r="AR53" s="282"/>
      <c r="AS53" s="117"/>
      <c r="AT53" s="117"/>
      <c r="AU53" s="117"/>
      <c r="AV53" s="117"/>
      <c r="AW53" s="117"/>
      <c r="AX53" s="117"/>
      <c r="AY53" s="117"/>
      <c r="AZ53" s="117"/>
      <c r="BA53" s="117"/>
      <c r="BB53" s="117"/>
      <c r="BC53" s="117"/>
      <c r="BD53" s="117"/>
      <c r="BE53" s="117"/>
      <c r="BF53" s="117"/>
      <c r="BG53" s="117"/>
    </row>
    <row r="54" spans="1:59" s="118" customFormat="1" ht="141" customHeight="1" x14ac:dyDescent="0.25">
      <c r="A54" s="352"/>
      <c r="B54" s="354"/>
      <c r="C54" s="353"/>
      <c r="D54" s="325"/>
      <c r="E54" s="325"/>
      <c r="F54" s="327"/>
      <c r="G54" s="327"/>
      <c r="H54" s="112" t="s">
        <v>373</v>
      </c>
      <c r="I54" s="325"/>
      <c r="J54" s="322"/>
      <c r="K54" s="323"/>
      <c r="L54" s="322"/>
      <c r="M54" s="323"/>
      <c r="N54" s="344"/>
      <c r="O54" s="343"/>
      <c r="P54" s="334"/>
      <c r="Q54" s="334" t="str">
        <f t="shared" ref="Q54" si="74">IF(OR(R54="Preventivo",R54="Detectivo"),"Probabilidad",IF(R54="Correctivo","Impacto",""))</f>
        <v/>
      </c>
      <c r="R54" s="334"/>
      <c r="S54" s="334"/>
      <c r="T54" s="334" t="str">
        <f t="shared" si="73"/>
        <v/>
      </c>
      <c r="U54" s="334"/>
      <c r="V54" s="334"/>
      <c r="W54" s="334"/>
      <c r="X54" s="334"/>
      <c r="Y54" s="337"/>
      <c r="Z54" s="315"/>
      <c r="AA54" s="340"/>
      <c r="AB54" s="315"/>
      <c r="AC54" s="340"/>
      <c r="AD54" s="314"/>
      <c r="AE54" s="301"/>
      <c r="AF54" s="314"/>
      <c r="AG54" s="301"/>
      <c r="AH54" s="318"/>
      <c r="AI54" s="329"/>
      <c r="AJ54" s="119"/>
      <c r="AK54" s="296"/>
      <c r="AL54" s="296"/>
      <c r="AM54" s="296"/>
      <c r="AN54" s="280"/>
      <c r="AO54" s="280"/>
      <c r="AP54" s="280"/>
      <c r="AQ54" s="280"/>
      <c r="AR54" s="282"/>
      <c r="AS54" s="117"/>
      <c r="AT54" s="117"/>
      <c r="AU54" s="117"/>
      <c r="AV54" s="117"/>
      <c r="AW54" s="117"/>
      <c r="AX54" s="117"/>
      <c r="AY54" s="117"/>
      <c r="AZ54" s="117"/>
      <c r="BA54" s="117"/>
      <c r="BB54" s="117"/>
      <c r="BC54" s="117"/>
      <c r="BD54" s="117"/>
      <c r="BE54" s="117"/>
      <c r="BF54" s="117"/>
      <c r="BG54" s="117"/>
    </row>
    <row r="55" spans="1:59" s="118" customFormat="1" ht="73.5" customHeight="1" x14ac:dyDescent="0.25">
      <c r="A55" s="352" t="s">
        <v>374</v>
      </c>
      <c r="B55" s="354" t="s">
        <v>375</v>
      </c>
      <c r="C55" s="353" t="s">
        <v>361</v>
      </c>
      <c r="D55" s="324" t="s">
        <v>376</v>
      </c>
      <c r="E55" s="324" t="s">
        <v>377</v>
      </c>
      <c r="F55" s="326" t="s">
        <v>378</v>
      </c>
      <c r="G55" s="326" t="s">
        <v>379</v>
      </c>
      <c r="H55" s="112" t="s">
        <v>380</v>
      </c>
      <c r="I55" s="324" t="s">
        <v>156</v>
      </c>
      <c r="J55" s="321" t="s">
        <v>255</v>
      </c>
      <c r="K55" s="323">
        <f>IF(J55="","",IF(J55="Muy Baja",0.2,IF(J55="Baja",0.4,IF(J55="Media",0.6,IF(J55="Alta",0.8,IF(J55="Muy Alta",1,))))))</f>
        <v>0.6</v>
      </c>
      <c r="L55" s="321" t="s">
        <v>274</v>
      </c>
      <c r="M55" s="323">
        <f>IF(L55="","",IF(L55="Leve",0.2,IF(L55="Menor",0.4,IF(L55="Moderado",0.6,IF(L55="Mayor",0.8,IF(L55="Catastrófico",1,))))))</f>
        <v>0.8</v>
      </c>
      <c r="N55" s="344" t="str">
        <f>IF(OR(AND(J55="Muy Baja",L55="Leve"),AND(J55="Muy Baja",L55="Menor"),AND(J55="Baja",L55="Leve")),"Bajo",IF(OR(AND(J55="Muy baja",L55="Moderado"),AND(J55="Baja",L55="Menor"),AND(J55="Baja",L55="Moderado"),AND(J55="Media",L55="Leve"),AND(J55="Media",L55="Menor"),AND(J55="Media",L55="Moderado"),AND(J55="Alta",L55="Leve"),AND(J55="Alta",L55="Menor")),"Moderado",IF(OR(AND(J55="Muy Baja",L55="Mayor"),AND(J55="Baja",L55="Mayor"),AND(J55="Media",L55="Mayor"),AND(J55="Alta",L55="Moderado"),AND(J55="Alta",L55="Mayor"),AND(J55="Muy Alta",L55="Leve"),AND(J55="Muy Alta",L55="Menor"),AND(J55="Muy Alta",L55="Moderado"),AND(J55="Muy Alta",L55="Mayor")),"Alto",IF(OR(AND(J55="Muy Baja",L55="Catastrófico"),AND(J55="Baja",L55="Catastrófico"),AND(J55="Media",L55="Catastrófico"),AND(J55="Alta",L55="Catastrófico"),AND(J55="Muy Alta",L55="Catastrófico")),"Extremo",""))))</f>
        <v>Alto</v>
      </c>
      <c r="O55" s="111">
        <v>1</v>
      </c>
      <c r="P55" s="113" t="s">
        <v>381</v>
      </c>
      <c r="Q55" s="26" t="str">
        <f>IF(OR(R55="Preventivo",R55="Detectivo"),"Probabilidad",IF(R55="Correctivo","Impacto",""))</f>
        <v>Probabilidad</v>
      </c>
      <c r="R55" s="114" t="s">
        <v>159</v>
      </c>
      <c r="S55" s="114" t="s">
        <v>160</v>
      </c>
      <c r="T55" s="27" t="str">
        <f>IF(AND(R55="Preventivo",S55="Automático"),"50%",IF(AND(R55="Preventivo",S55="Manual"),"40%",IF(AND(R55="Detectivo",S55="Automático"),"40%",IF(AND(R55="Detectivo",S55="Manual"),"30%",IF(AND(R55="Correctivo",S55="Automático"),"35%",IF(AND(R55="Correctivo",S55="Manual"),"25%",""))))))</f>
        <v>40%</v>
      </c>
      <c r="U55" s="114" t="s">
        <v>161</v>
      </c>
      <c r="V55" s="114" t="s">
        <v>162</v>
      </c>
      <c r="W55" s="114" t="s">
        <v>163</v>
      </c>
      <c r="X55" s="121" t="s">
        <v>382</v>
      </c>
      <c r="Y55" s="115">
        <f>IFERROR(IF(Q55="Probabilidad",(K55-(+K55*T55)),IF(Q55="Impacto",K55,"")),"")</f>
        <v>0.36</v>
      </c>
      <c r="Z55" s="29" t="str">
        <f t="shared" ref="Z55:Z58" si="75">IFERROR(IF(Y55="","",IF(Y55&lt;=0.2,"Muy Baja",IF(Y55&lt;=0.4,"Baja",IF(Y55&lt;=0.6,"Media",IF(Y55&lt;=0.8,"Alta","Muy Alta"))))),"")</f>
        <v>Baja</v>
      </c>
      <c r="AA55" s="27">
        <f>+Y55</f>
        <v>0.36</v>
      </c>
      <c r="AB55" s="29" t="str">
        <f>IFERROR(IF(AC55="","",IF(AC55&lt;=0.2,"Leve",IF(AC55&lt;=0.4,"Menor",IF(AC55&lt;=0.6,"Moderado",IF(AC55&lt;=0.8,"Mayor","Catastrófico"))))),"")</f>
        <v>Mayor</v>
      </c>
      <c r="AC55" s="27">
        <f>IFERROR(IF(Q55="Impacto",(M55-(+M55*T55)),IF(Q55="Probabilidad",M55,"")),"")</f>
        <v>0.8</v>
      </c>
      <c r="AD55" s="313" t="str">
        <f>IFERROR(IF(AE55=0,"",IF(AND(AE55&gt;0,AE55&lt;=0.2),"Muy Baja",IF(AE55&lt;=0.4,"Baja",IF(AE55&lt;=0.6,"Media",IF(AE55&lt;=0.8,"Alta","Muy Alta"))))),"")</f>
        <v>Muy Baja</v>
      </c>
      <c r="AE55" s="300">
        <f>MIN(Y55:Y59)</f>
        <v>0.12959999999999999</v>
      </c>
      <c r="AF55" s="313" t="str">
        <f>IFERROR(IF(AG55=0,"",IF(AND(AG55&gt;0,AG55&lt;=0.2),"Leve",IF(AG55&lt;=0.4,"Menor",IF(AG55&lt;=0.6,"Moderado",IF(AG55&lt;=0.8,"Mayor","Catastrófico"))))),"")</f>
        <v>Moderado</v>
      </c>
      <c r="AG55" s="300">
        <f>MIN(AC55:AC59)</f>
        <v>0.60000000000000009</v>
      </c>
      <c r="AH55" s="317" t="str">
        <f>IFERROR(IF(OR(AND(AD55="Muy Baja",AF55="Leve"),AND(AD55="Muy Baja",AF55="Menor"),AND(AD55="Baja",AF55="Leve")),"Bajo",IF(OR(AND(AD55="Muy Baja",AF55="Moderado"),AND(AD55="Baja",AF55="Menor"),AND(AD55="Baja",AF55="Moderado"),AND(AD55="Media",AF55="Leve"),AND(AD55="Media",AF55="Menor"),AND(AD55="Media",AF55="Moderado"),AND(AD55="Alta",AF55="Leve"),AND(AD55="Alta",AF55="Menor")),"Moderado",IF(OR(AND(AD55="Muy Baja",AF55="Mayor"),AND(AD55="Baja",AF55="Mayor"),AND(AD55="Media",AF55="Mayor"),AND(AD55="Alta",AF55="Moderado"),AND(AD55="Alta",AF55="Mayor"),AND(AD55="Muy Alta",AF55="Leve"),AND(AD55="Muy Alta",AF55="Menor"),AND(AD55="Muy Alta",AF55="Moderado"),AND(AD55="Muy Alta",AF55="Mayor")),"Alto",IF(OR(AND(AD55="Muy Baja",AF55="Catastrófico"),AND(AD55="Baja",AF55="Catastrófico"),AND(AD55="Media",AF55="Catastrófico"),AND(AD55="Alta",AF55="Catastrófico"),AND(AD55="Muy Alta",AF55="Catastrófico")),"Extremo","")))),"")</f>
        <v>Moderado</v>
      </c>
      <c r="AI55" s="328"/>
      <c r="AJ55" s="104" t="s">
        <v>383</v>
      </c>
      <c r="AK55" s="279" t="s">
        <v>384</v>
      </c>
      <c r="AL55" s="279" t="s">
        <v>385</v>
      </c>
      <c r="AM55" s="286" t="s">
        <v>386</v>
      </c>
      <c r="AN55" s="279" t="s">
        <v>387</v>
      </c>
      <c r="AO55" s="279" t="s">
        <v>169</v>
      </c>
      <c r="AP55" s="279"/>
      <c r="AQ55" s="279" t="s">
        <v>169</v>
      </c>
      <c r="AR55" s="279"/>
      <c r="AS55" s="117"/>
      <c r="AT55" s="117"/>
      <c r="AU55" s="117"/>
      <c r="AV55" s="117"/>
      <c r="AW55" s="117"/>
      <c r="AX55" s="117"/>
      <c r="AY55" s="117"/>
      <c r="AZ55" s="117"/>
      <c r="BA55" s="117"/>
      <c r="BB55" s="117"/>
      <c r="BC55" s="117"/>
      <c r="BD55" s="117"/>
      <c r="BE55" s="117"/>
      <c r="BF55" s="117"/>
      <c r="BG55" s="117"/>
    </row>
    <row r="56" spans="1:59" s="118" customFormat="1" ht="78" customHeight="1" x14ac:dyDescent="0.25">
      <c r="A56" s="352"/>
      <c r="B56" s="354"/>
      <c r="C56" s="353"/>
      <c r="D56" s="325"/>
      <c r="E56" s="325"/>
      <c r="F56" s="327"/>
      <c r="G56" s="327"/>
      <c r="H56" s="112" t="s">
        <v>388</v>
      </c>
      <c r="I56" s="325"/>
      <c r="J56" s="322"/>
      <c r="K56" s="323"/>
      <c r="L56" s="322"/>
      <c r="M56" s="323"/>
      <c r="N56" s="344"/>
      <c r="O56" s="111">
        <v>2</v>
      </c>
      <c r="P56" s="97" t="s">
        <v>389</v>
      </c>
      <c r="Q56" s="26" t="str">
        <f t="shared" ref="Q56" si="76">IF(OR(R56="Preventivo",R56="Detectivo"),"Probabilidad",IF(R56="Correctivo","Impacto",""))</f>
        <v>Probabilidad</v>
      </c>
      <c r="R56" s="100" t="s">
        <v>159</v>
      </c>
      <c r="S56" s="100" t="s">
        <v>160</v>
      </c>
      <c r="T56" s="27" t="str">
        <f t="shared" ref="T56" si="77">IF(AND(R56="Preventivo",S56="Automático"),"50%",IF(AND(R56="Preventivo",S56="Manual"),"40%",IF(AND(R56="Detectivo",S56="Automático"),"40%",IF(AND(R56="Detectivo",S56="Manual"),"30%",IF(AND(R56="Correctivo",S56="Automático"),"35%",IF(AND(R56="Correctivo",S56="Manual"),"25%",""))))))</f>
        <v>40%</v>
      </c>
      <c r="U56" s="100" t="s">
        <v>186</v>
      </c>
      <c r="V56" s="100" t="s">
        <v>162</v>
      </c>
      <c r="W56" s="100" t="s">
        <v>163</v>
      </c>
      <c r="X56" s="92" t="s">
        <v>390</v>
      </c>
      <c r="Y56" s="115">
        <f>IFERROR(IF(AND(Q55="Probabilidad",Q56="Probabilidad"),(AA55-(+AA55*T56)),IF(Q56="Probabilidad",(K55-(+K55*T56)),IF(Q56="Impacto",AA55,""))),"")</f>
        <v>0.216</v>
      </c>
      <c r="Z56" s="29" t="str">
        <f t="shared" si="75"/>
        <v>Baja</v>
      </c>
      <c r="AA56" s="27">
        <f t="shared" ref="AA56:AA58" si="78">+Y56</f>
        <v>0.216</v>
      </c>
      <c r="AB56" s="29" t="str">
        <f t="shared" ref="AB56:AB58" si="79">IFERROR(IF(AC56="","",IF(AC56&lt;=0.2,"Leve",IF(AC56&lt;=0.4,"Menor",IF(AC56&lt;=0.6,"Moderado",IF(AC56&lt;=0.8,"Mayor","Catastrófico"))))),"")</f>
        <v>Mayor</v>
      </c>
      <c r="AC56" s="27">
        <f>IFERROR(IF(AND(Q55="Impacto",Q56="Impacto"),(AC55-(+AC55*T56)),IF(Q56="Impacto",(#REF!-(+#REF!*T56)),IF(Q56="Probabilidad",AC55,""))),"")</f>
        <v>0.8</v>
      </c>
      <c r="AD56" s="314"/>
      <c r="AE56" s="301"/>
      <c r="AF56" s="314"/>
      <c r="AG56" s="301"/>
      <c r="AH56" s="318"/>
      <c r="AI56" s="329"/>
      <c r="AJ56" s="119"/>
      <c r="AK56" s="280"/>
      <c r="AL56" s="280"/>
      <c r="AM56" s="287"/>
      <c r="AN56" s="280"/>
      <c r="AO56" s="280"/>
      <c r="AP56" s="280"/>
      <c r="AQ56" s="280"/>
      <c r="AR56" s="280"/>
      <c r="AS56" s="117"/>
      <c r="AT56" s="117"/>
      <c r="AU56" s="117"/>
      <c r="AV56" s="117"/>
      <c r="AW56" s="117"/>
      <c r="AX56" s="117"/>
      <c r="AY56" s="117"/>
      <c r="AZ56" s="117"/>
      <c r="BA56" s="117"/>
      <c r="BB56" s="117"/>
      <c r="BC56" s="117"/>
      <c r="BD56" s="117"/>
      <c r="BE56" s="117"/>
      <c r="BF56" s="117"/>
      <c r="BG56" s="117"/>
    </row>
    <row r="57" spans="1:59" s="118" customFormat="1" ht="30.6" x14ac:dyDescent="0.25">
      <c r="A57" s="352"/>
      <c r="B57" s="354"/>
      <c r="C57" s="353"/>
      <c r="D57" s="325"/>
      <c r="E57" s="325"/>
      <c r="F57" s="327"/>
      <c r="G57" s="327"/>
      <c r="H57" s="112" t="s">
        <v>391</v>
      </c>
      <c r="I57" s="325"/>
      <c r="J57" s="322"/>
      <c r="K57" s="323"/>
      <c r="L57" s="322"/>
      <c r="M57" s="323"/>
      <c r="N57" s="344"/>
      <c r="O57" s="111">
        <v>3</v>
      </c>
      <c r="P57" s="120" t="s">
        <v>392</v>
      </c>
      <c r="Q57" s="26" t="str">
        <f t="shared" ref="Q57:Q59" si="80">IF(OR(R57="Preventivo",R57="Detectivo"),"Probabilidad",IF(R57="Correctivo","Impacto",""))</f>
        <v/>
      </c>
      <c r="R57" s="114" t="s">
        <v>393</v>
      </c>
      <c r="S57" s="114" t="s">
        <v>393</v>
      </c>
      <c r="T57" s="27" t="str">
        <f t="shared" ref="T57:T59" si="81">IF(AND(R57="Preventivo",S57="Automático"),"50%",IF(AND(R57="Preventivo",S57="Manual"),"40%",IF(AND(R57="Detectivo",S57="Automático"),"40%",IF(AND(R57="Detectivo",S57="Manual"),"30%",IF(AND(R57="Correctivo",S57="Automático"),"35%",IF(AND(R57="Correctivo",S57="Manual"),"25%",""))))))</f>
        <v/>
      </c>
      <c r="U57" s="114" t="s">
        <v>393</v>
      </c>
      <c r="V57" s="114" t="s">
        <v>393</v>
      </c>
      <c r="W57" s="114" t="s">
        <v>393</v>
      </c>
      <c r="X57" s="111" t="s">
        <v>394</v>
      </c>
      <c r="Y57" s="115">
        <f>IFERROR(IF(AND(Q56="Probabilidad",Q57="Probabilidad"),(AA56-(+AA56*T57)),IF(AND(Q56="Impacto",Q57="Probabilidad"),(AA55-(+AA55*T57)),IF(Q57="",AA56,""))),"")</f>
        <v>0.216</v>
      </c>
      <c r="Z57" s="29" t="str">
        <f t="shared" si="75"/>
        <v>Baja</v>
      </c>
      <c r="AA57" s="27">
        <f t="shared" si="78"/>
        <v>0.216</v>
      </c>
      <c r="AB57" s="29" t="str">
        <f t="shared" si="79"/>
        <v>Mayor</v>
      </c>
      <c r="AC57" s="27">
        <f>IFERROR(IF(AND(Q56="Impacto",Q57="Impacto"),(AC56-(+AC56*T57)),IF(AND(Q56="Probabilidad",Q57="Impacto"),(AC55-(+AC55*T57)),IF(Q57="",AC56,""))),"")</f>
        <v>0.8</v>
      </c>
      <c r="AD57" s="314"/>
      <c r="AE57" s="301"/>
      <c r="AF57" s="314"/>
      <c r="AG57" s="301"/>
      <c r="AH57" s="318"/>
      <c r="AI57" s="329"/>
      <c r="AJ57" s="122"/>
      <c r="AK57" s="280"/>
      <c r="AL57" s="280"/>
      <c r="AM57" s="287"/>
      <c r="AN57" s="280"/>
      <c r="AO57" s="280"/>
      <c r="AP57" s="280"/>
      <c r="AQ57" s="280"/>
      <c r="AR57" s="280"/>
      <c r="AS57" s="117"/>
      <c r="AT57" s="117"/>
      <c r="AU57" s="117"/>
      <c r="AV57" s="117"/>
      <c r="AW57" s="117"/>
      <c r="AX57" s="117"/>
      <c r="AY57" s="117"/>
      <c r="AZ57" s="117"/>
      <c r="BA57" s="117"/>
      <c r="BB57" s="117"/>
      <c r="BC57" s="117"/>
      <c r="BD57" s="117"/>
      <c r="BE57" s="117"/>
      <c r="BF57" s="117"/>
      <c r="BG57" s="117"/>
    </row>
    <row r="58" spans="1:59" s="118" customFormat="1" ht="61.2" customHeight="1" x14ac:dyDescent="0.25">
      <c r="A58" s="352"/>
      <c r="B58" s="354"/>
      <c r="C58" s="353"/>
      <c r="D58" s="325"/>
      <c r="E58" s="325"/>
      <c r="F58" s="327"/>
      <c r="G58" s="327"/>
      <c r="H58" s="112" t="s">
        <v>395</v>
      </c>
      <c r="I58" s="325"/>
      <c r="J58" s="322"/>
      <c r="K58" s="323"/>
      <c r="L58" s="322"/>
      <c r="M58" s="323"/>
      <c r="N58" s="344"/>
      <c r="O58" s="111">
        <v>4</v>
      </c>
      <c r="P58" s="113" t="s">
        <v>396</v>
      </c>
      <c r="Q58" s="26" t="str">
        <f t="shared" si="80"/>
        <v>Probabilidad</v>
      </c>
      <c r="R58" s="114" t="s">
        <v>159</v>
      </c>
      <c r="S58" s="114" t="s">
        <v>160</v>
      </c>
      <c r="T58" s="27" t="str">
        <f t="shared" si="81"/>
        <v>40%</v>
      </c>
      <c r="U58" s="114" t="s">
        <v>161</v>
      </c>
      <c r="V58" s="114" t="s">
        <v>162</v>
      </c>
      <c r="W58" s="114" t="s">
        <v>163</v>
      </c>
      <c r="X58" s="121" t="s">
        <v>397</v>
      </c>
      <c r="Y58" s="115">
        <f>IFERROR(IF(AND(Q57="",Q58="Probabilidad"),(AA57-(+AA57*T58)),IF(AND(Q57="Impacto",Q58="Probabilidad"),(AC56-(+AC56*T58)),IF(Q58="Impacto",AA57,""))),"")</f>
        <v>0.12959999999999999</v>
      </c>
      <c r="Z58" s="29" t="str">
        <f t="shared" si="75"/>
        <v>Muy Baja</v>
      </c>
      <c r="AA58" s="27">
        <f t="shared" si="78"/>
        <v>0.12959999999999999</v>
      </c>
      <c r="AB58" s="29" t="str">
        <f t="shared" si="79"/>
        <v>Mayor</v>
      </c>
      <c r="AC58" s="27">
        <f>IFERROR(IF(AND(Q57="Impacto",Q58="Impacto"),(AC57-(+AC57*T58)),IF(AND(Q57="Probabilidad",Q58="Impacto"),(AC56-(+AC56*T58)),IF(Q58="Probabilidad",AC57,""))),"")</f>
        <v>0.8</v>
      </c>
      <c r="AD58" s="314"/>
      <c r="AE58" s="301"/>
      <c r="AF58" s="314"/>
      <c r="AG58" s="301"/>
      <c r="AH58" s="318"/>
      <c r="AI58" s="329"/>
      <c r="AJ58" s="119"/>
      <c r="AK58" s="280"/>
      <c r="AL58" s="280"/>
      <c r="AM58" s="287"/>
      <c r="AN58" s="280"/>
      <c r="AO58" s="280"/>
      <c r="AP58" s="280"/>
      <c r="AQ58" s="280"/>
      <c r="AR58" s="280"/>
      <c r="AS58" s="117"/>
      <c r="AT58" s="117"/>
      <c r="AU58" s="117"/>
      <c r="AV58" s="117"/>
      <c r="AW58" s="117"/>
      <c r="AX58" s="117"/>
      <c r="AY58" s="117"/>
      <c r="AZ58" s="117"/>
      <c r="BA58" s="117"/>
      <c r="BB58" s="117"/>
      <c r="BC58" s="117"/>
      <c r="BD58" s="117"/>
      <c r="BE58" s="117"/>
      <c r="BF58" s="117"/>
      <c r="BG58" s="117"/>
    </row>
    <row r="59" spans="1:59" s="118" customFormat="1" ht="52.2" customHeight="1" x14ac:dyDescent="0.25">
      <c r="A59" s="352"/>
      <c r="B59" s="354"/>
      <c r="C59" s="353"/>
      <c r="D59" s="325"/>
      <c r="E59" s="325"/>
      <c r="F59" s="327"/>
      <c r="G59" s="327"/>
      <c r="H59" s="112"/>
      <c r="I59" s="325"/>
      <c r="J59" s="322"/>
      <c r="K59" s="323"/>
      <c r="L59" s="322"/>
      <c r="M59" s="323"/>
      <c r="N59" s="344"/>
      <c r="O59" s="111">
        <v>5</v>
      </c>
      <c r="P59" s="113" t="s">
        <v>398</v>
      </c>
      <c r="Q59" s="26" t="str">
        <f t="shared" si="80"/>
        <v>Impacto</v>
      </c>
      <c r="R59" s="114" t="s">
        <v>228</v>
      </c>
      <c r="S59" s="114" t="s">
        <v>160</v>
      </c>
      <c r="T59" s="27" t="str">
        <f t="shared" si="81"/>
        <v>25%</v>
      </c>
      <c r="U59" s="114" t="s">
        <v>161</v>
      </c>
      <c r="V59" s="114" t="s">
        <v>162</v>
      </c>
      <c r="W59" s="114" t="s">
        <v>163</v>
      </c>
      <c r="X59" s="121" t="s">
        <v>399</v>
      </c>
      <c r="Y59" s="115">
        <f>IFERROR(IF(AND(Q58="Probabilidad",Q59="Probabilidad"),(AA58-(+AA58*T59)),IF(AND(Q58="Impacto",Q59="Probabilidad"),(AC57-(+AC57*T59)),IF(Q59="Impacto",AA58,""))),"")</f>
        <v>0.12959999999999999</v>
      </c>
      <c r="Z59" s="29" t="str">
        <f>IFERROR(IF(Y59="","",IF(Y59&lt;=0.2,"Muy Baja",IF(Y59&lt;=0.4,"Baja",IF(Y59&lt;=0.6,"Media",IF(Y59&lt;=0.8,"Alta","Muy Alta"))))),"")</f>
        <v>Muy Baja</v>
      </c>
      <c r="AA59" s="27">
        <f t="shared" ref="AA59" si="82">+Y59</f>
        <v>0.12959999999999999</v>
      </c>
      <c r="AB59" s="29" t="str">
        <f t="shared" ref="AB59" si="83">IFERROR(IF(AC59="","",IF(AC59&lt;=0.2,"Leve",IF(AC59&lt;=0.4,"Menor",IF(AC59&lt;=0.6,"Moderado",IF(AC59&lt;=0.8,"Mayor","Catastrófico"))))),"")</f>
        <v>Moderado</v>
      </c>
      <c r="AC59" s="27">
        <f>IFERROR(IF(AND(Q58="Impacto",Q59="Impacto"),(AC58-(+AC58*T59)),IF(AND(Q58="Probabilidad",Q59="Impacto"),(AC57-(+AC57*T59)),IF(Q59="Probabilidad",AC58,""))),"")</f>
        <v>0.60000000000000009</v>
      </c>
      <c r="AD59" s="314"/>
      <c r="AE59" s="301"/>
      <c r="AF59" s="314"/>
      <c r="AG59" s="301"/>
      <c r="AH59" s="318"/>
      <c r="AI59" s="329"/>
      <c r="AJ59" s="119"/>
      <c r="AK59" s="296"/>
      <c r="AL59" s="296"/>
      <c r="AM59" s="288"/>
      <c r="AN59" s="280"/>
      <c r="AO59" s="280"/>
      <c r="AP59" s="280"/>
      <c r="AQ59" s="280"/>
      <c r="AR59" s="280"/>
      <c r="AS59" s="117"/>
      <c r="AT59" s="117"/>
      <c r="AU59" s="117"/>
      <c r="AV59" s="117"/>
      <c r="AW59" s="117"/>
      <c r="AX59" s="117"/>
      <c r="AY59" s="117"/>
      <c r="AZ59" s="117"/>
      <c r="BA59" s="117"/>
      <c r="BB59" s="117"/>
      <c r="BC59" s="117"/>
      <c r="BD59" s="117"/>
      <c r="BE59" s="117"/>
      <c r="BF59" s="117"/>
      <c r="BG59" s="117"/>
    </row>
    <row r="60" spans="1:59" s="118" customFormat="1" ht="92.4" customHeight="1" x14ac:dyDescent="0.25">
      <c r="A60" s="352" t="s">
        <v>400</v>
      </c>
      <c r="B60" s="353" t="s">
        <v>401</v>
      </c>
      <c r="C60" s="353" t="s">
        <v>361</v>
      </c>
      <c r="D60" s="324" t="s">
        <v>250</v>
      </c>
      <c r="E60" s="326" t="s">
        <v>402</v>
      </c>
      <c r="F60" s="326" t="s">
        <v>403</v>
      </c>
      <c r="G60" s="326" t="s">
        <v>404</v>
      </c>
      <c r="H60" s="112" t="s">
        <v>405</v>
      </c>
      <c r="I60" s="324" t="s">
        <v>156</v>
      </c>
      <c r="J60" s="321" t="s">
        <v>255</v>
      </c>
      <c r="K60" s="323">
        <f>IF(J60="","",IF(J60="Muy Baja",0.2,IF(J60="Baja",0.4,IF(J60="Media",0.6,IF(J60="Alta",0.8,IF(J60="Muy Alta",1,))))))</f>
        <v>0.6</v>
      </c>
      <c r="L60" s="321" t="s">
        <v>15</v>
      </c>
      <c r="M60" s="323">
        <f>IF(L60="","",IF(L60="Leve",0.2,IF(L60="Menor",0.4,IF(L60="Moderado",0.6,IF(L60="Mayor",0.8,IF(L60="Catastrófico",1,))))))</f>
        <v>0.6</v>
      </c>
      <c r="N60" s="344" t="str">
        <f>IF(OR(AND(J60="Muy Baja",L60="Leve"),AND(J60="Muy Baja",L60="Menor"),AND(J60="Baja",L60="Leve")),"Bajo",IF(OR(AND(J60="Muy baja",L60="Moderado"),AND(J60="Baja",L60="Menor"),AND(J60="Baja",L60="Moderado"),AND(J60="Media",L60="Leve"),AND(J60="Media",L60="Menor"),AND(J60="Media",L60="Moderado"),AND(J60="Alta",L60="Leve"),AND(J60="Alta",L60="Menor")),"Moderado",IF(OR(AND(J60="Muy Baja",L60="Mayor"),AND(J60="Baja",L60="Mayor"),AND(J60="Media",L60="Mayor"),AND(J60="Alta",L60="Moderado"),AND(J60="Alta",L60="Mayor"),AND(J60="Muy Alta",L60="Leve"),AND(J60="Muy Alta",L60="Menor"),AND(J60="Muy Alta",L60="Moderado"),AND(J60="Muy Alta",L60="Mayor")),"Alto",IF(OR(AND(J60="Muy Baja",L60="Catastrófico"),AND(J60="Baja",L60="Catastrófico"),AND(J60="Media",L60="Catastrófico"),AND(J60="Alta",L60="Catastrófico"),AND(J60="Muy Alta",L60="Catastrófico")),"Extremo",""))))</f>
        <v>Moderado</v>
      </c>
      <c r="O60" s="111">
        <v>1</v>
      </c>
      <c r="P60" s="120" t="s">
        <v>392</v>
      </c>
      <c r="Q60" s="26" t="str">
        <f t="shared" si="69"/>
        <v/>
      </c>
      <c r="R60" s="114" t="s">
        <v>393</v>
      </c>
      <c r="S60" s="114" t="s">
        <v>393</v>
      </c>
      <c r="T60" s="27" t="str">
        <f t="shared" si="66"/>
        <v/>
      </c>
      <c r="U60" s="114" t="s">
        <v>393</v>
      </c>
      <c r="V60" s="114" t="s">
        <v>393</v>
      </c>
      <c r="W60" s="114" t="s">
        <v>393</v>
      </c>
      <c r="X60" s="111" t="s">
        <v>394</v>
      </c>
      <c r="Y60" s="115">
        <f>K60</f>
        <v>0.6</v>
      </c>
      <c r="Z60" s="29" t="str">
        <f t="shared" ref="Z60:Z62" si="84">IFERROR(IF(Y60="","",IF(Y60&lt;=0.2,"Muy Baja",IF(Y60&lt;=0.4,"Baja",IF(Y60&lt;=0.6,"Media",IF(Y60&lt;=0.8,"Alta","Muy Alta"))))),"")</f>
        <v>Media</v>
      </c>
      <c r="AA60" s="27">
        <f>+Y60</f>
        <v>0.6</v>
      </c>
      <c r="AB60" s="29" t="str">
        <f>IFERROR(IF(AC60="","",IF(AC60&lt;=0.2,"Leve",IF(AC60&lt;=0.4,"Menor",IF(AC60&lt;=0.6,"Moderado",IF(AC60&lt;=0.8,"Mayor","Catastrófico"))))),"")</f>
        <v>Moderado</v>
      </c>
      <c r="AC60" s="27">
        <f>M60</f>
        <v>0.6</v>
      </c>
      <c r="AD60" s="313" t="str">
        <f>IFERROR(IF(AE60=0,"",IF(AND(AE60&gt;0,AE60&lt;=0.2),"Muy Baja",IF(AE60&lt;=0.4,"Baja",IF(AE60&lt;=0.6,"Media",IF(AE60&lt;=0.8,"Alta","Muy Alta"))))),"")</f>
        <v>Media</v>
      </c>
      <c r="AE60" s="300">
        <f>MIN(Y60:Y62)</f>
        <v>0.6</v>
      </c>
      <c r="AF60" s="313" t="str">
        <f>IFERROR(IF(AG60=0,"",IF(AND(AG60&gt;0,AG60&lt;=0.2),"Leve",IF(AG60&lt;=0.4,"Menor",IF(AG60&lt;=0.6,"Moderado",IF(AG60&lt;=0.8,"Mayor","Catastrófico"))))),"")</f>
        <v>Moderado</v>
      </c>
      <c r="AG60" s="300">
        <f>MIN(AC60:AC62)</f>
        <v>0.6</v>
      </c>
      <c r="AH60" s="317" t="str">
        <f>IFERROR(IF(OR(AND(AD60="Muy Baja",AF60="Leve"),AND(AD60="Muy Baja",AF60="Menor"),AND(AD60="Baja",AF60="Leve")),"Bajo",IF(OR(AND(AD60="Muy Baja",AF60="Moderado"),AND(AD60="Baja",AF60="Menor"),AND(AD60="Baja",AF60="Moderado"),AND(AD60="Media",AF60="Leve"),AND(AD60="Media",AF60="Menor"),AND(AD60="Media",AF60="Moderado"),AND(AD60="Alta",AF60="Leve"),AND(AD60="Alta",AF60="Menor")),"Moderado",IF(OR(AND(AD60="Muy Baja",AF60="Mayor"),AND(AD60="Baja",AF60="Mayor"),AND(AD60="Media",AF60="Mayor"),AND(AD60="Alta",AF60="Moderado"),AND(AD60="Alta",AF60="Mayor"),AND(AD60="Muy Alta",AF60="Leve"),AND(AD60="Muy Alta",AF60="Menor"),AND(AD60="Muy Alta",AF60="Moderado"),AND(AD60="Muy Alta",AF60="Mayor")),"Alto",IF(OR(AND(AD60="Muy Baja",AF60="Catastrófico"),AND(AD60="Baja",AF60="Catastrófico"),AND(AD60="Media",AF60="Catastrófico"),AND(AD60="Alta",AF60="Catastrófico"),AND(AD60="Muy Alta",AF60="Catastrófico")),"Extremo","")))),"")</f>
        <v>Moderado</v>
      </c>
      <c r="AI60" s="328"/>
      <c r="AJ60" s="443"/>
      <c r="AK60" s="281" t="s">
        <v>406</v>
      </c>
      <c r="AL60" s="279" t="s">
        <v>315</v>
      </c>
      <c r="AM60" s="279" t="s">
        <v>407</v>
      </c>
      <c r="AN60" s="279" t="s">
        <v>408</v>
      </c>
      <c r="AO60" s="279" t="s">
        <v>169</v>
      </c>
      <c r="AP60" s="281"/>
      <c r="AQ60" s="279" t="s">
        <v>169</v>
      </c>
      <c r="AR60" s="281"/>
      <c r="AS60" s="117"/>
      <c r="AT60" s="117"/>
      <c r="AU60" s="117"/>
      <c r="AV60" s="117"/>
      <c r="AW60" s="117"/>
      <c r="AX60" s="117"/>
      <c r="AY60" s="117"/>
      <c r="AZ60" s="117"/>
      <c r="BA60" s="117"/>
      <c r="BB60" s="117"/>
      <c r="BC60" s="117"/>
      <c r="BD60" s="117"/>
      <c r="BE60" s="117"/>
      <c r="BF60" s="117"/>
      <c r="BG60" s="117"/>
    </row>
    <row r="61" spans="1:59" s="118" customFormat="1" ht="92.4" customHeight="1" x14ac:dyDescent="0.25">
      <c r="A61" s="352"/>
      <c r="B61" s="353"/>
      <c r="C61" s="353"/>
      <c r="D61" s="325"/>
      <c r="E61" s="327"/>
      <c r="F61" s="327"/>
      <c r="G61" s="327"/>
      <c r="H61" s="112" t="s">
        <v>409</v>
      </c>
      <c r="I61" s="325"/>
      <c r="J61" s="322"/>
      <c r="K61" s="323"/>
      <c r="L61" s="322"/>
      <c r="M61" s="323"/>
      <c r="N61" s="344"/>
      <c r="O61" s="111">
        <v>2</v>
      </c>
      <c r="P61" s="120" t="s">
        <v>392</v>
      </c>
      <c r="Q61" s="26" t="str">
        <f t="shared" ref="Q61" si="85">IF(OR(R61="Preventivo",R61="Detectivo"),"Probabilidad",IF(R61="Correctivo","Impacto",""))</f>
        <v/>
      </c>
      <c r="R61" s="114" t="s">
        <v>393</v>
      </c>
      <c r="S61" s="114" t="s">
        <v>393</v>
      </c>
      <c r="T61" s="27" t="str">
        <f t="shared" ref="T61" si="86">IF(AND(R61="Preventivo",S61="Automático"),"50%",IF(AND(R61="Preventivo",S61="Manual"),"40%",IF(AND(R61="Detectivo",S61="Automático"),"40%",IF(AND(R61="Detectivo",S61="Manual"),"30%",IF(AND(R61="Correctivo",S61="Automático"),"35%",IF(AND(R61="Correctivo",S61="Manual"),"25%",""))))))</f>
        <v/>
      </c>
      <c r="U61" s="114" t="s">
        <v>393</v>
      </c>
      <c r="V61" s="114" t="s">
        <v>393</v>
      </c>
      <c r="W61" s="114" t="s">
        <v>393</v>
      </c>
      <c r="X61" s="111" t="s">
        <v>394</v>
      </c>
      <c r="Y61" s="115">
        <f>Y60</f>
        <v>0.6</v>
      </c>
      <c r="Z61" s="29" t="str">
        <f t="shared" si="84"/>
        <v>Media</v>
      </c>
      <c r="AA61" s="27">
        <f t="shared" ref="AA61:AA62" si="87">+Y61</f>
        <v>0.6</v>
      </c>
      <c r="AB61" s="29" t="str">
        <f t="shared" ref="AB61:AB62" si="88">IFERROR(IF(AC61="","",IF(AC61&lt;=0.2,"Leve",IF(AC61&lt;=0.4,"Menor",IF(AC61&lt;=0.6,"Moderado",IF(AC61&lt;=0.8,"Mayor","Catastrófico"))))),"")</f>
        <v>Moderado</v>
      </c>
      <c r="AC61" s="27">
        <f>AC60</f>
        <v>0.6</v>
      </c>
      <c r="AD61" s="314"/>
      <c r="AE61" s="301"/>
      <c r="AF61" s="314"/>
      <c r="AG61" s="301"/>
      <c r="AH61" s="318"/>
      <c r="AI61" s="329"/>
      <c r="AJ61" s="444"/>
      <c r="AK61" s="282"/>
      <c r="AL61" s="280"/>
      <c r="AM61" s="280"/>
      <c r="AN61" s="280"/>
      <c r="AO61" s="280"/>
      <c r="AP61" s="282"/>
      <c r="AQ61" s="280"/>
      <c r="AR61" s="282"/>
      <c r="AS61" s="117"/>
      <c r="AT61" s="117"/>
      <c r="AU61" s="117"/>
      <c r="AV61" s="117"/>
      <c r="AW61" s="117"/>
      <c r="AX61" s="117"/>
      <c r="AY61" s="117"/>
      <c r="AZ61" s="117"/>
      <c r="BA61" s="117"/>
      <c r="BB61" s="117"/>
      <c r="BC61" s="117"/>
      <c r="BD61" s="117"/>
      <c r="BE61" s="117"/>
      <c r="BF61" s="117"/>
      <c r="BG61" s="117"/>
    </row>
    <row r="62" spans="1:59" s="118" customFormat="1" ht="170.25" customHeight="1" x14ac:dyDescent="0.25">
      <c r="A62" s="352"/>
      <c r="B62" s="353"/>
      <c r="C62" s="353"/>
      <c r="D62" s="325"/>
      <c r="E62" s="327"/>
      <c r="F62" s="327"/>
      <c r="G62" s="327"/>
      <c r="H62" s="112"/>
      <c r="I62" s="325"/>
      <c r="J62" s="322"/>
      <c r="K62" s="323"/>
      <c r="L62" s="322"/>
      <c r="M62" s="323"/>
      <c r="N62" s="344"/>
      <c r="O62" s="111">
        <v>3</v>
      </c>
      <c r="P62" s="120"/>
      <c r="Q62" s="26" t="str">
        <f t="shared" ref="Q62" si="89">IF(OR(R62="Preventivo",R62="Detectivo"),"Probabilidad",IF(R62="Correctivo","Impacto",""))</f>
        <v/>
      </c>
      <c r="R62" s="114"/>
      <c r="S62" s="114"/>
      <c r="T62" s="27" t="str">
        <f t="shared" ref="T62" si="90">IF(AND(R62="Preventivo",S62="Automático"),"50%",IF(AND(R62="Preventivo",S62="Manual"),"40%",IF(AND(R62="Detectivo",S62="Automático"),"40%",IF(AND(R62="Detectivo",S62="Manual"),"30%",IF(AND(R62="Correctivo",S62="Automático"),"35%",IF(AND(R62="Correctivo",S62="Manual"),"25%",""))))))</f>
        <v/>
      </c>
      <c r="U62" s="114"/>
      <c r="V62" s="114"/>
      <c r="W62" s="114"/>
      <c r="X62" s="111"/>
      <c r="Y62" s="115">
        <f>IFERROR(IF(AND(Q61="Probabilidad",Q62="Probabilidad"),(AA61-(+AA61*T62)),IF(AND(Q61="Impacto",Q62="Probabilidad"),(AA60-(+AA60*T62)),IF(Q62="",AA61,""))),"")</f>
        <v>0.6</v>
      </c>
      <c r="Z62" s="29" t="str">
        <f t="shared" si="84"/>
        <v>Media</v>
      </c>
      <c r="AA62" s="27">
        <f t="shared" si="87"/>
        <v>0.6</v>
      </c>
      <c r="AB62" s="29" t="str">
        <f t="shared" si="88"/>
        <v>Moderado</v>
      </c>
      <c r="AC62" s="27">
        <f>IFERROR(IF(AND(Q61="Impacto",Q62="Impacto"),(AC61-(+AC61*T62)),IF(AND(Q61="Probabilidad",Q62="Impacto"),(AC60-(+AC60*T62)),IF(Q62="",AC61,""))),"")</f>
        <v>0.6</v>
      </c>
      <c r="AD62" s="314"/>
      <c r="AE62" s="301"/>
      <c r="AF62" s="314"/>
      <c r="AG62" s="301"/>
      <c r="AH62" s="318"/>
      <c r="AI62" s="329"/>
      <c r="AJ62" s="119"/>
      <c r="AK62" s="283"/>
      <c r="AL62" s="296"/>
      <c r="AM62" s="296"/>
      <c r="AN62" s="280"/>
      <c r="AO62" s="280"/>
      <c r="AP62" s="282"/>
      <c r="AQ62" s="280"/>
      <c r="AR62" s="282"/>
      <c r="AS62" s="117"/>
      <c r="AT62" s="117"/>
      <c r="AU62" s="117"/>
      <c r="AV62" s="117"/>
      <c r="AW62" s="117"/>
      <c r="AX62" s="117"/>
      <c r="AY62" s="117"/>
      <c r="AZ62" s="117"/>
      <c r="BA62" s="117"/>
      <c r="BB62" s="117"/>
      <c r="BC62" s="117"/>
      <c r="BD62" s="117"/>
      <c r="BE62" s="117"/>
      <c r="BF62" s="117"/>
      <c r="BG62" s="117"/>
    </row>
    <row r="63" spans="1:59" ht="156.75" customHeight="1" x14ac:dyDescent="0.25">
      <c r="A63" s="355" t="s">
        <v>410</v>
      </c>
      <c r="B63" s="357" t="s">
        <v>411</v>
      </c>
      <c r="C63" s="356" t="s">
        <v>412</v>
      </c>
      <c r="D63" s="356" t="s">
        <v>413</v>
      </c>
      <c r="E63" s="356" t="s">
        <v>414</v>
      </c>
      <c r="F63" s="356" t="s">
        <v>415</v>
      </c>
      <c r="G63" s="357" t="s">
        <v>416</v>
      </c>
      <c r="H63" s="91"/>
      <c r="I63" s="358" t="s">
        <v>156</v>
      </c>
      <c r="J63" s="313" t="s">
        <v>157</v>
      </c>
      <c r="K63" s="323">
        <f>IF(J63="","",IF(J63="Muy Baja",0.2,IF(J63="Baja",0.4,IF(J63="Media",0.6,IF(J63="Alta",0.8,IF(J63="Muy Alta",1,))))))</f>
        <v>0.8</v>
      </c>
      <c r="L63" s="313" t="s">
        <v>417</v>
      </c>
      <c r="M63" s="323">
        <f>IF(L63="","",IF(L63="Leve",0.2,IF(L63="Menor",0.4,IF(L63="Moderado",0.6,IF(L63="Mayor",0.8,IF(L63="Catastrófico",1,))))))</f>
        <v>1</v>
      </c>
      <c r="N63" s="344" t="str">
        <f>IF(OR(AND(J63="Muy Baja",L63="Leve"),AND(J63="Muy Baja",L63="Menor"),AND(J63="Baja",L63="Leve")),"Bajo",IF(OR(AND(J63="Muy baja",L63="Moderado"),AND(J63="Baja",L63="Menor"),AND(J63="Baja",L63="Moderado"),AND(J63="Media",L63="Leve"),AND(J63="Media",L63="Menor"),AND(J63="Media",L63="Moderado"),AND(J63="Alta",L63="Leve"),AND(J63="Alta",L63="Menor")),"Moderado",IF(OR(AND(J63="Muy Baja",L63="Mayor"),AND(J63="Baja",L63="Mayor"),AND(J63="Media",L63="Mayor"),AND(J63="Alta",L63="Moderado"),AND(J63="Alta",L63="Mayor"),AND(J63="Muy Alta",L63="Leve"),AND(J63="Muy Alta",L63="Menor"),AND(J63="Muy Alta",L63="Moderado"),AND(J63="Muy Alta",L63="Mayor")),"Alto",IF(OR(AND(J63="Muy Baja",L63="Catastrófico"),AND(J63="Baja",L63="Catastrófico"),AND(J63="Media",L63="Catastrófico"),AND(J63="Alta",L63="Catastrófico"),AND(J63="Muy Alta",L63="Catastrófico")),"Extremo",""))))</f>
        <v>Extremo</v>
      </c>
      <c r="O63" s="26">
        <v>0</v>
      </c>
      <c r="P63" s="84" t="s">
        <v>418</v>
      </c>
      <c r="Q63" s="26" t="str">
        <f>IF(OR(R63="Preventivo",R63="Detectivo"),"Probabilidad",IF(R63="Correctivo","Impacto",""))</f>
        <v>Impacto</v>
      </c>
      <c r="R63" s="100" t="s">
        <v>228</v>
      </c>
      <c r="S63" s="100" t="s">
        <v>160</v>
      </c>
      <c r="T63" s="27" t="str">
        <f>IF(AND(R63="Preventivo",S63="Automático"),"50%",IF(AND(R63="Preventivo",S63="Manual"),"40%",IF(AND(R63="Detectivo",S63="Automático"),"40%",IF(AND(R63="Detectivo",S63="Manual"),"30%",IF(AND(R63="Correctivo",S63="Automático"),"35%",IF(AND(R63="Correctivo",S63="Manual"),"25%",""))))))</f>
        <v>25%</v>
      </c>
      <c r="U63" s="100" t="s">
        <v>186</v>
      </c>
      <c r="V63" s="100" t="s">
        <v>162</v>
      </c>
      <c r="W63" s="100" t="s">
        <v>163</v>
      </c>
      <c r="X63" s="104" t="s">
        <v>419</v>
      </c>
      <c r="Y63" s="85">
        <f>IFERROR(IF(Q63="Probabilidad",(K63-(+K63*T63)),IF(Q63="Impacto",K63,"")),"")</f>
        <v>0.8</v>
      </c>
      <c r="Z63" s="29" t="str">
        <f t="shared" ref="Z63:Z65" si="91">IFERROR(IF(Y63="","",IF(Y63&lt;=0.2,"Muy Baja",IF(Y63&lt;=0.4,"Baja",IF(Y63&lt;=0.6,"Media",IF(Y63&lt;=0.8,"Alta","Muy Alta"))))),"")</f>
        <v>Alta</v>
      </c>
      <c r="AA63" s="27">
        <f>+Y63</f>
        <v>0.8</v>
      </c>
      <c r="AB63" s="29" t="str">
        <f>IFERROR(IF(AC63="","",IF(AC63&lt;=0.2,"Leve",IF(AC63&lt;=0.4,"Menor",IF(AC63&lt;=0.6,"Moderado",IF(AC63&lt;=0.8,"Mayor","Catastrófico"))))),"")</f>
        <v>Mayor</v>
      </c>
      <c r="AC63" s="27">
        <f>IFERROR(IF(Q63="Impacto",(M63-(+M63*T63)),IF(Q63="Probabilidad",M63,"")),"")</f>
        <v>0.75</v>
      </c>
      <c r="AD63" s="313" t="str">
        <f t="shared" ref="AD63" si="92">IFERROR(IF(AE63=0,"",IF(AND(AE63&gt;0,AE63&lt;=0.2),"Muy Baja",IF(AE63&lt;=0.4,"Baja",IF(AE63&lt;=0.6,"Media",IF(AE63&lt;=0.8,"Alta","Muy Alta"))))),"")</f>
        <v>Muy Baja</v>
      </c>
      <c r="AE63" s="300">
        <f>MIN(Y63:Y67)</f>
        <v>0.17279999999999998</v>
      </c>
      <c r="AF63" s="313" t="str">
        <f t="shared" ref="AF63" si="93">IFERROR(IF(AG63=0,"",IF(AND(AG63&gt;0,AG63&lt;=0.2),"Leve",IF(AG63&lt;=0.4,"Menor",IF(AG63&lt;=0.6,"Moderado",IF(AG63&lt;=0.8,"Mayor","Catastrófico"))))),"")</f>
        <v>Moderado</v>
      </c>
      <c r="AG63" s="300">
        <f>MIN(AC63:AC67)</f>
        <v>0.5625</v>
      </c>
      <c r="AH63" s="317" t="str">
        <f t="shared" ref="AH63" si="94">IFERROR(IF(OR(AND(AD63="Muy Baja",AF63="Leve"),AND(AD63="Muy Baja",AF63="Menor"),AND(AD63="Baja",AF63="Leve")),"Bajo",IF(OR(AND(AD63="Muy Baja",AF63="Moderado"),AND(AD63="Baja",AF63="Menor"),AND(AD63="Baja",AF63="Moderado"),AND(AD63="Media",AF63="Leve"),AND(AD63="Media",AF63="Menor"),AND(AD63="Media",AF63="Moderado"),AND(AD63="Alta",AF63="Leve"),AND(AD63="Alta",AF63="Menor")),"Moderado",IF(OR(AND(AD63="Muy Baja",AF63="Mayor"),AND(AD63="Baja",AF63="Mayor"),AND(AD63="Media",AF63="Mayor"),AND(AD63="Alta",AF63="Moderado"),AND(AD63="Alta",AF63="Mayor"),AND(AD63="Muy Alta",AF63="Leve"),AND(AD63="Muy Alta",AF63="Menor"),AND(AD63="Muy Alta",AF63="Moderado"),AND(AD63="Muy Alta",AF63="Mayor")),"Alto",IF(OR(AND(AD63="Muy Baja",AF63="Catastrófico"),AND(AD63="Baja",AF63="Catastrófico"),AND(AD63="Media",AF63="Catastrófico"),AND(AD63="Alta",AF63="Catastrófico"),AND(AD63="Muy Alta",AF63="Catastrófico")),"Extremo","")))),"")</f>
        <v>Moderado</v>
      </c>
      <c r="AI63" s="302" t="s">
        <v>165</v>
      </c>
      <c r="AJ63" s="362"/>
      <c r="AK63" s="279" t="s">
        <v>420</v>
      </c>
      <c r="AL63" s="279" t="s">
        <v>421</v>
      </c>
      <c r="AM63" s="286" t="s">
        <v>620</v>
      </c>
      <c r="AN63" s="286" t="s">
        <v>422</v>
      </c>
      <c r="AO63" s="284" t="s">
        <v>169</v>
      </c>
      <c r="AP63" s="279"/>
      <c r="AQ63" s="284" t="s">
        <v>169</v>
      </c>
      <c r="AR63" s="279"/>
      <c r="AS63" s="72"/>
      <c r="AT63" s="72"/>
      <c r="AU63" s="72"/>
      <c r="AV63" s="72"/>
      <c r="AW63" s="72"/>
      <c r="AX63" s="72"/>
      <c r="AY63" s="72"/>
      <c r="AZ63" s="72"/>
      <c r="BA63" s="72"/>
      <c r="BB63" s="72"/>
      <c r="BC63" s="72"/>
      <c r="BD63" s="72"/>
      <c r="BE63" s="72"/>
      <c r="BF63" s="72"/>
      <c r="BG63" s="72"/>
    </row>
    <row r="64" spans="1:59" ht="65.25" customHeight="1" x14ac:dyDescent="0.25">
      <c r="A64" s="355"/>
      <c r="B64" s="357"/>
      <c r="C64" s="356"/>
      <c r="D64" s="356"/>
      <c r="E64" s="356"/>
      <c r="F64" s="356"/>
      <c r="G64" s="357"/>
      <c r="H64" s="92" t="s">
        <v>423</v>
      </c>
      <c r="I64" s="359"/>
      <c r="J64" s="314"/>
      <c r="K64" s="323"/>
      <c r="L64" s="314"/>
      <c r="M64" s="323"/>
      <c r="N64" s="344"/>
      <c r="O64" s="26">
        <v>1</v>
      </c>
      <c r="P64" s="97" t="s">
        <v>424</v>
      </c>
      <c r="Q64" s="26" t="str">
        <f>IF(OR(R64="Preventivo",R64="Detectivo"),"Probabilidad",IF(R64="Correctivo","Impacto",""))</f>
        <v>Probabilidad</v>
      </c>
      <c r="R64" s="100" t="s">
        <v>159</v>
      </c>
      <c r="S64" s="100" t="s">
        <v>160</v>
      </c>
      <c r="T64" s="27" t="str">
        <f t="shared" ref="T64:T67" si="95">IF(AND(R64="Preventivo",S64="Automático"),"50%",IF(AND(R64="Preventivo",S64="Manual"),"40%",IF(AND(R64="Detectivo",S64="Automático"),"40%",IF(AND(R64="Detectivo",S64="Manual"),"30%",IF(AND(R64="Correctivo",S64="Automático"),"35%",IF(AND(R64="Correctivo",S64="Manual"),"25%",""))))))</f>
        <v>40%</v>
      </c>
      <c r="U64" s="100" t="s">
        <v>186</v>
      </c>
      <c r="V64" s="100" t="s">
        <v>205</v>
      </c>
      <c r="W64" s="100" t="s">
        <v>163</v>
      </c>
      <c r="X64" s="104" t="s">
        <v>425</v>
      </c>
      <c r="Y64" s="85">
        <f>IFERROR(IF(AND(Q63="Probabilidad",Q64="Probabilidad"),(AA63-(+AA63*T64)),IF(Q64="Probabilidad",(K63-(+K63*T64)),IF(Q64="Impacto",AA63,""))),"")</f>
        <v>0.48</v>
      </c>
      <c r="Z64" s="29" t="str">
        <f t="shared" si="91"/>
        <v>Media</v>
      </c>
      <c r="AA64" s="27">
        <f t="shared" ref="AA64:AA65" si="96">+Y64</f>
        <v>0.48</v>
      </c>
      <c r="AB64" s="29" t="str">
        <f t="shared" ref="AB64:AB65" si="97">IFERROR(IF(AC64="","",IF(AC64&lt;=0.2,"Leve",IF(AC64&lt;=0.4,"Menor",IF(AC64&lt;=0.6,"Moderado",IF(AC64&lt;=0.8,"Mayor","Catastrófico"))))),"")</f>
        <v>Mayor</v>
      </c>
      <c r="AC64" s="27">
        <f>IFERROR(IF(AND(Q63="Impacto",Q64="Impacto"),(AC63-(+AC63*T64)),IF(Q64="Impacto",($M$15-(+$M$15*T64)),IF(Q64="Probabilidad",AC63,""))),"")</f>
        <v>0.75</v>
      </c>
      <c r="AD64" s="314"/>
      <c r="AE64" s="301"/>
      <c r="AF64" s="314"/>
      <c r="AG64" s="301"/>
      <c r="AH64" s="318"/>
      <c r="AI64" s="303"/>
      <c r="AJ64" s="363"/>
      <c r="AK64" s="280"/>
      <c r="AL64" s="280"/>
      <c r="AM64" s="287"/>
      <c r="AN64" s="287"/>
      <c r="AO64" s="285"/>
      <c r="AP64" s="280"/>
      <c r="AQ64" s="285"/>
      <c r="AR64" s="280"/>
      <c r="AS64" s="72"/>
      <c r="AT64" s="72"/>
      <c r="AU64" s="72"/>
      <c r="AV64" s="72"/>
      <c r="AW64" s="72"/>
      <c r="AX64" s="72"/>
      <c r="AY64" s="72"/>
      <c r="AZ64" s="72"/>
      <c r="BA64" s="72"/>
      <c r="BB64" s="72"/>
      <c r="BC64" s="72"/>
      <c r="BD64" s="72"/>
      <c r="BE64" s="72"/>
      <c r="BF64" s="72"/>
      <c r="BG64" s="72"/>
    </row>
    <row r="65" spans="1:59" ht="73.5" customHeight="1" x14ac:dyDescent="0.25">
      <c r="A65" s="355"/>
      <c r="B65" s="357"/>
      <c r="C65" s="356"/>
      <c r="D65" s="356"/>
      <c r="E65" s="356"/>
      <c r="F65" s="356"/>
      <c r="G65" s="357"/>
      <c r="H65" s="92" t="s">
        <v>426</v>
      </c>
      <c r="I65" s="359"/>
      <c r="J65" s="314"/>
      <c r="K65" s="323"/>
      <c r="L65" s="314"/>
      <c r="M65" s="323"/>
      <c r="N65" s="344"/>
      <c r="O65" s="26">
        <v>2</v>
      </c>
      <c r="P65" s="84" t="s">
        <v>427</v>
      </c>
      <c r="Q65" s="26" t="str">
        <f>IF(OR(R65="Preventivo",R65="Detectivo"),"Probabilidad",IF(R65="Correctivo","Impacto",""))</f>
        <v>Probabilidad</v>
      </c>
      <c r="R65" s="100" t="s">
        <v>159</v>
      </c>
      <c r="S65" s="100" t="s">
        <v>160</v>
      </c>
      <c r="T65" s="27" t="str">
        <f t="shared" si="95"/>
        <v>40%</v>
      </c>
      <c r="U65" s="100" t="s">
        <v>161</v>
      </c>
      <c r="V65" s="100" t="s">
        <v>162</v>
      </c>
      <c r="W65" s="100" t="s">
        <v>163</v>
      </c>
      <c r="X65" s="104" t="s">
        <v>428</v>
      </c>
      <c r="Y65" s="85">
        <f>IFERROR(IF(AND(Q64="Probabilidad",Q65="Probabilidad"),(AA64-(+AA64*T65)),IF(AND(Q64="Impacto",Q65="Probabilidad"),(AA63-(+AA63*T65)),IF(Q65="Impacto",AA64,""))),"")</f>
        <v>0.28799999999999998</v>
      </c>
      <c r="Z65" s="29" t="str">
        <f t="shared" si="91"/>
        <v>Baja</v>
      </c>
      <c r="AA65" s="27">
        <f t="shared" si="96"/>
        <v>0.28799999999999998</v>
      </c>
      <c r="AB65" s="29" t="str">
        <f t="shared" si="97"/>
        <v>Mayor</v>
      </c>
      <c r="AC65" s="27">
        <f>IFERROR(IF(AND(Q64="Impacto",Q65="Impacto"),(AC64-(+AC64*T65)),IF(AND(Q64="Probabilidad",Q65="Impacto"),(AC63-(+AC63*T65)),IF(Q65="Probabilidad",AC64,""))),"")</f>
        <v>0.75</v>
      </c>
      <c r="AD65" s="314"/>
      <c r="AE65" s="301"/>
      <c r="AF65" s="314"/>
      <c r="AG65" s="301"/>
      <c r="AH65" s="318"/>
      <c r="AI65" s="303"/>
      <c r="AJ65" s="363"/>
      <c r="AK65" s="280"/>
      <c r="AL65" s="280"/>
      <c r="AM65" s="287"/>
      <c r="AN65" s="287"/>
      <c r="AO65" s="285"/>
      <c r="AP65" s="280"/>
      <c r="AQ65" s="285"/>
      <c r="AR65" s="280"/>
      <c r="AS65" s="72"/>
      <c r="AT65" s="72"/>
      <c r="AU65" s="72"/>
      <c r="AV65" s="72"/>
      <c r="AW65" s="72"/>
      <c r="AX65" s="72"/>
      <c r="AY65" s="72"/>
      <c r="AZ65" s="72"/>
      <c r="BA65" s="72"/>
      <c r="BB65" s="72"/>
      <c r="BC65" s="72"/>
      <c r="BD65" s="72"/>
      <c r="BE65" s="72"/>
      <c r="BF65" s="72"/>
      <c r="BG65" s="72"/>
    </row>
    <row r="66" spans="1:59" ht="58.95" customHeight="1" x14ac:dyDescent="0.25">
      <c r="A66" s="355"/>
      <c r="B66" s="357"/>
      <c r="C66" s="356"/>
      <c r="D66" s="356"/>
      <c r="E66" s="356"/>
      <c r="F66" s="356"/>
      <c r="G66" s="357"/>
      <c r="H66" s="349" t="s">
        <v>429</v>
      </c>
      <c r="I66" s="359"/>
      <c r="J66" s="314"/>
      <c r="K66" s="323"/>
      <c r="L66" s="314"/>
      <c r="M66" s="323"/>
      <c r="N66" s="344"/>
      <c r="O66" s="26" t="s">
        <v>430</v>
      </c>
      <c r="P66" s="84" t="s">
        <v>431</v>
      </c>
      <c r="Q66" s="26" t="str">
        <f t="shared" ref="Q66:Q67" si="98">IF(OR(R66="Preventivo",R66="Detectivo"),"Probabilidad",IF(R66="Correctivo","Impacto",""))</f>
        <v>Probabilidad</v>
      </c>
      <c r="R66" s="100" t="s">
        <v>159</v>
      </c>
      <c r="S66" s="100" t="s">
        <v>160</v>
      </c>
      <c r="T66" s="27" t="str">
        <f t="shared" si="95"/>
        <v>40%</v>
      </c>
      <c r="U66" s="100" t="s">
        <v>186</v>
      </c>
      <c r="V66" s="100" t="s">
        <v>162</v>
      </c>
      <c r="W66" s="100" t="s">
        <v>163</v>
      </c>
      <c r="X66" s="104" t="s">
        <v>296</v>
      </c>
      <c r="Y66" s="85">
        <f t="shared" ref="Y66:Y67" si="99">IFERROR(IF(AND(Q65="Probabilidad",Q66="Probabilidad"),(AA65-(+AA65*T66)),IF(AND(Q65="Impacto",Q66="Probabilidad"),(AA64-(+AA64*T66)),IF(Q66="Impacto",AA65,""))),"")</f>
        <v>0.17279999999999998</v>
      </c>
      <c r="Z66" s="29" t="str">
        <f t="shared" ref="Z66:Z67" si="100">IFERROR(IF(Y66="","",IF(Y66&lt;=0.2,"Muy Baja",IF(Y66&lt;=0.4,"Baja",IF(Y66&lt;=0.6,"Media",IF(Y66&lt;=0.8,"Alta","Muy Alta"))))),"")</f>
        <v>Muy Baja</v>
      </c>
      <c r="AA66" s="27">
        <f t="shared" ref="AA66:AA67" si="101">+Y66</f>
        <v>0.17279999999999998</v>
      </c>
      <c r="AB66" s="29" t="str">
        <f t="shared" ref="AB66:AB67" si="102">IFERROR(IF(AC66="","",IF(AC66&lt;=0.2,"Leve",IF(AC66&lt;=0.4,"Menor",IF(AC66&lt;=0.6,"Moderado",IF(AC66&lt;=0.8,"Mayor","Catastrófico"))))),"")</f>
        <v>Mayor</v>
      </c>
      <c r="AC66" s="27">
        <f t="shared" ref="AC66:AC67" si="103">IFERROR(IF(AND(Q65="Impacto",Q66="Impacto"),(AC65-(+AC65*T66)),IF(AND(Q65="Probabilidad",Q66="Impacto"),(AC64-(+AC64*T66)),IF(Q66="Probabilidad",AC65,""))),"")</f>
        <v>0.75</v>
      </c>
      <c r="AD66" s="314"/>
      <c r="AE66" s="301"/>
      <c r="AF66" s="314"/>
      <c r="AG66" s="301"/>
      <c r="AH66" s="318"/>
      <c r="AI66" s="303"/>
      <c r="AJ66" s="363"/>
      <c r="AK66" s="280"/>
      <c r="AL66" s="280"/>
      <c r="AM66" s="287"/>
      <c r="AN66" s="287"/>
      <c r="AO66" s="285"/>
      <c r="AP66" s="280"/>
      <c r="AQ66" s="285"/>
      <c r="AR66" s="280"/>
      <c r="AS66" s="72"/>
      <c r="AT66" s="72"/>
      <c r="AU66" s="72"/>
      <c r="AV66" s="72"/>
      <c r="AW66" s="72"/>
      <c r="AX66" s="72"/>
      <c r="AY66" s="72"/>
      <c r="AZ66" s="72"/>
      <c r="BA66" s="72"/>
      <c r="BB66" s="72"/>
      <c r="BC66" s="72"/>
      <c r="BD66" s="72"/>
      <c r="BE66" s="72"/>
      <c r="BF66" s="72"/>
      <c r="BG66" s="72"/>
    </row>
    <row r="67" spans="1:59" ht="122.25" customHeight="1" x14ac:dyDescent="0.25">
      <c r="A67" s="355"/>
      <c r="B67" s="357"/>
      <c r="C67" s="356"/>
      <c r="D67" s="356"/>
      <c r="E67" s="356"/>
      <c r="F67" s="356"/>
      <c r="G67" s="357"/>
      <c r="H67" s="350"/>
      <c r="I67" s="359"/>
      <c r="J67" s="314"/>
      <c r="K67" s="323"/>
      <c r="L67" s="314"/>
      <c r="M67" s="323"/>
      <c r="N67" s="344"/>
      <c r="O67" s="26" t="s">
        <v>432</v>
      </c>
      <c r="P67" s="96" t="s">
        <v>433</v>
      </c>
      <c r="Q67" s="26" t="str">
        <f t="shared" si="98"/>
        <v>Impacto</v>
      </c>
      <c r="R67" s="100" t="s">
        <v>228</v>
      </c>
      <c r="S67" s="100" t="s">
        <v>160</v>
      </c>
      <c r="T67" s="27" t="str">
        <f t="shared" si="95"/>
        <v>25%</v>
      </c>
      <c r="U67" s="100" t="s">
        <v>186</v>
      </c>
      <c r="V67" s="100" t="s">
        <v>162</v>
      </c>
      <c r="W67" s="100" t="s">
        <v>163</v>
      </c>
      <c r="X67" s="104" t="s">
        <v>434</v>
      </c>
      <c r="Y67" s="85">
        <f t="shared" si="99"/>
        <v>0.17279999999999998</v>
      </c>
      <c r="Z67" s="29" t="str">
        <f t="shared" si="100"/>
        <v>Muy Baja</v>
      </c>
      <c r="AA67" s="27">
        <f t="shared" si="101"/>
        <v>0.17279999999999998</v>
      </c>
      <c r="AB67" s="29" t="str">
        <f t="shared" si="102"/>
        <v>Moderado</v>
      </c>
      <c r="AC67" s="27">
        <f t="shared" si="103"/>
        <v>0.5625</v>
      </c>
      <c r="AD67" s="314"/>
      <c r="AE67" s="301"/>
      <c r="AF67" s="314"/>
      <c r="AG67" s="301"/>
      <c r="AH67" s="318"/>
      <c r="AI67" s="303"/>
      <c r="AJ67" s="364"/>
      <c r="AK67" s="296"/>
      <c r="AL67" s="296"/>
      <c r="AM67" s="288"/>
      <c r="AN67" s="288"/>
      <c r="AO67" s="285"/>
      <c r="AP67" s="296"/>
      <c r="AQ67" s="285"/>
      <c r="AR67" s="296"/>
      <c r="AS67" s="72"/>
      <c r="AT67" s="72"/>
      <c r="AU67" s="72"/>
      <c r="AV67" s="72"/>
      <c r="AW67" s="72"/>
      <c r="AX67" s="72"/>
      <c r="AY67" s="72"/>
      <c r="AZ67" s="72"/>
      <c r="BA67" s="72"/>
      <c r="BB67" s="72"/>
      <c r="BC67" s="72"/>
      <c r="BD67" s="72"/>
      <c r="BE67" s="72"/>
      <c r="BF67" s="72"/>
      <c r="BG67" s="72"/>
    </row>
    <row r="68" spans="1:59" ht="49.5" customHeight="1" x14ac:dyDescent="0.25">
      <c r="A68" s="367" t="s">
        <v>435</v>
      </c>
      <c r="B68" s="368"/>
      <c r="C68" s="368"/>
      <c r="D68" s="368"/>
      <c r="E68" s="368"/>
      <c r="F68" s="368"/>
      <c r="G68" s="368"/>
      <c r="H68" s="368"/>
      <c r="I68" s="368"/>
      <c r="J68" s="368"/>
      <c r="K68" s="368"/>
      <c r="L68" s="368"/>
      <c r="M68" s="368"/>
      <c r="N68" s="368"/>
      <c r="O68" s="368"/>
      <c r="P68" s="368"/>
      <c r="Q68" s="368"/>
      <c r="R68" s="368"/>
      <c r="S68" s="368"/>
      <c r="T68" s="368"/>
      <c r="U68" s="368"/>
      <c r="V68" s="368"/>
      <c r="W68" s="368"/>
      <c r="X68" s="368"/>
      <c r="Y68" s="368"/>
      <c r="Z68" s="368"/>
      <c r="AA68" s="368"/>
      <c r="AB68" s="368"/>
      <c r="AC68" s="368"/>
      <c r="AD68" s="368"/>
      <c r="AE68" s="368"/>
      <c r="AF68" s="368"/>
      <c r="AG68" s="368"/>
      <c r="AH68" s="368"/>
      <c r="AI68" s="369"/>
    </row>
    <row r="70" spans="1:59" x14ac:dyDescent="0.25">
      <c r="A70" s="93" t="s">
        <v>436</v>
      </c>
      <c r="B70" s="93"/>
      <c r="C70" s="73"/>
      <c r="D70" s="73"/>
      <c r="E70" s="73"/>
      <c r="F70" s="73"/>
      <c r="I70" s="73"/>
    </row>
    <row r="73" spans="1:59" x14ac:dyDescent="0.25">
      <c r="C73" s="77" t="s">
        <v>437</v>
      </c>
      <c r="D73" s="77"/>
      <c r="F73" s="73"/>
    </row>
    <row r="74" spans="1:59" x14ac:dyDescent="0.25">
      <c r="G74" s="94"/>
    </row>
    <row r="75" spans="1:59" x14ac:dyDescent="0.25">
      <c r="C75" s="107" t="s">
        <v>438</v>
      </c>
      <c r="D75" s="108" t="s">
        <v>439</v>
      </c>
      <c r="E75" s="366" t="s">
        <v>440</v>
      </c>
      <c r="F75" s="366"/>
      <c r="G75" s="366"/>
      <c r="H75" s="366"/>
    </row>
    <row r="76" spans="1:59" ht="54" customHeight="1" x14ac:dyDescent="0.25">
      <c r="C76" s="101" t="s">
        <v>247</v>
      </c>
      <c r="D76" s="109">
        <v>44776</v>
      </c>
      <c r="E76" s="345" t="s">
        <v>441</v>
      </c>
      <c r="F76" s="345"/>
      <c r="G76" s="345"/>
      <c r="H76" s="345"/>
    </row>
    <row r="77" spans="1:59" ht="54" customHeight="1" x14ac:dyDescent="0.25">
      <c r="C77" s="101" t="s">
        <v>287</v>
      </c>
      <c r="D77" s="109">
        <v>44776</v>
      </c>
      <c r="E77" s="345" t="s">
        <v>442</v>
      </c>
      <c r="F77" s="345"/>
      <c r="G77" s="345"/>
      <c r="H77" s="345"/>
    </row>
    <row r="78" spans="1:59" ht="54" customHeight="1" x14ac:dyDescent="0.25">
      <c r="C78" s="101" t="s">
        <v>443</v>
      </c>
      <c r="D78" s="109">
        <v>44776</v>
      </c>
      <c r="E78" s="345" t="s">
        <v>444</v>
      </c>
      <c r="F78" s="345"/>
      <c r="G78" s="345"/>
      <c r="H78" s="345"/>
    </row>
    <row r="79" spans="1:59" ht="54" customHeight="1" x14ac:dyDescent="0.25">
      <c r="C79" s="101" t="s">
        <v>410</v>
      </c>
      <c r="D79" s="109">
        <v>44776</v>
      </c>
      <c r="E79" s="345" t="s">
        <v>445</v>
      </c>
      <c r="F79" s="345"/>
      <c r="G79" s="345"/>
      <c r="H79" s="345"/>
    </row>
    <row r="80" spans="1:59" ht="54" customHeight="1" x14ac:dyDescent="0.25">
      <c r="C80" s="101" t="s">
        <v>443</v>
      </c>
      <c r="D80" s="109">
        <v>44963</v>
      </c>
      <c r="E80" s="345" t="s">
        <v>446</v>
      </c>
      <c r="F80" s="345"/>
      <c r="G80" s="345"/>
      <c r="H80" s="345"/>
    </row>
    <row r="81" spans="3:8" ht="108" customHeight="1" x14ac:dyDescent="0.25">
      <c r="C81" s="101" t="s">
        <v>148</v>
      </c>
      <c r="D81" s="109">
        <v>45385</v>
      </c>
      <c r="E81" s="345" t="s">
        <v>447</v>
      </c>
      <c r="F81" s="345"/>
      <c r="G81" s="345"/>
      <c r="H81" s="345"/>
    </row>
    <row r="82" spans="3:8" ht="54" customHeight="1" x14ac:dyDescent="0.25">
      <c r="C82" s="101" t="s">
        <v>448</v>
      </c>
      <c r="D82" s="109">
        <v>45385</v>
      </c>
      <c r="E82" s="346" t="s">
        <v>449</v>
      </c>
      <c r="F82" s="347"/>
      <c r="G82" s="347"/>
      <c r="H82" s="348"/>
    </row>
    <row r="83" spans="3:8" ht="54" customHeight="1" x14ac:dyDescent="0.25">
      <c r="C83" s="101" t="s">
        <v>195</v>
      </c>
      <c r="D83" s="109">
        <v>45385</v>
      </c>
      <c r="E83" s="310" t="s">
        <v>450</v>
      </c>
      <c r="F83" s="311"/>
      <c r="G83" s="311"/>
      <c r="H83" s="312"/>
    </row>
    <row r="84" spans="3:8" ht="54" customHeight="1" x14ac:dyDescent="0.25">
      <c r="C84" s="101" t="s">
        <v>221</v>
      </c>
      <c r="D84" s="109">
        <v>45385</v>
      </c>
      <c r="E84" s="310" t="s">
        <v>451</v>
      </c>
      <c r="F84" s="311"/>
      <c r="G84" s="311"/>
      <c r="H84" s="312"/>
    </row>
    <row r="85" spans="3:8" ht="54" customHeight="1" x14ac:dyDescent="0.25">
      <c r="C85" s="101" t="s">
        <v>247</v>
      </c>
      <c r="D85" s="109">
        <v>45385</v>
      </c>
      <c r="E85" s="310" t="s">
        <v>452</v>
      </c>
      <c r="F85" s="311"/>
      <c r="G85" s="311"/>
      <c r="H85" s="312"/>
    </row>
    <row r="86" spans="3:8" ht="54" customHeight="1" x14ac:dyDescent="0.25">
      <c r="C86" s="101" t="s">
        <v>287</v>
      </c>
      <c r="D86" s="109">
        <v>45385</v>
      </c>
      <c r="E86" s="310" t="s">
        <v>453</v>
      </c>
      <c r="F86" s="311"/>
      <c r="G86" s="311"/>
      <c r="H86" s="312"/>
    </row>
    <row r="87" spans="3:8" ht="54" customHeight="1" x14ac:dyDescent="0.25">
      <c r="C87" s="101" t="s">
        <v>443</v>
      </c>
      <c r="D87" s="109">
        <v>45385</v>
      </c>
      <c r="E87" s="310" t="s">
        <v>454</v>
      </c>
      <c r="F87" s="311"/>
      <c r="G87" s="311"/>
      <c r="H87" s="312"/>
    </row>
    <row r="88" spans="3:8" ht="67.95" customHeight="1" x14ac:dyDescent="0.25">
      <c r="C88" s="101" t="s">
        <v>410</v>
      </c>
      <c r="D88" s="109">
        <v>45385</v>
      </c>
      <c r="E88" s="310" t="s">
        <v>455</v>
      </c>
      <c r="F88" s="311"/>
      <c r="G88" s="311"/>
      <c r="H88" s="312"/>
    </row>
    <row r="89" spans="3:8" ht="29.4" customHeight="1" x14ac:dyDescent="0.25">
      <c r="C89" s="26" t="s">
        <v>456</v>
      </c>
      <c r="D89" s="110">
        <v>45550</v>
      </c>
      <c r="E89" s="330" t="s">
        <v>457</v>
      </c>
      <c r="F89" s="330"/>
      <c r="G89" s="330"/>
      <c r="H89" s="330"/>
    </row>
    <row r="90" spans="3:8" ht="29.4" customHeight="1" x14ac:dyDescent="0.25">
      <c r="C90" s="101" t="s">
        <v>267</v>
      </c>
      <c r="D90" s="109">
        <v>45561</v>
      </c>
      <c r="E90" s="310" t="s">
        <v>458</v>
      </c>
      <c r="F90" s="311"/>
      <c r="G90" s="311"/>
      <c r="H90" s="312"/>
    </row>
    <row r="91" spans="3:8" ht="29.4" customHeight="1" x14ac:dyDescent="0.25">
      <c r="C91" s="101" t="s">
        <v>443</v>
      </c>
      <c r="D91" s="109">
        <v>45744</v>
      </c>
      <c r="E91" s="310" t="s">
        <v>459</v>
      </c>
      <c r="F91" s="311"/>
      <c r="G91" s="311"/>
      <c r="H91" s="312"/>
    </row>
    <row r="92" spans="3:8" ht="59.4" customHeight="1" x14ac:dyDescent="0.25">
      <c r="C92" s="101" t="s">
        <v>247</v>
      </c>
      <c r="D92" s="109">
        <v>45744</v>
      </c>
      <c r="E92" s="310" t="s">
        <v>460</v>
      </c>
      <c r="F92" s="311"/>
      <c r="G92" s="311"/>
      <c r="H92" s="312"/>
    </row>
    <row r="93" spans="3:8" ht="33.6" customHeight="1" x14ac:dyDescent="0.25">
      <c r="C93" s="101" t="s">
        <v>359</v>
      </c>
      <c r="D93" s="109">
        <v>45744</v>
      </c>
      <c r="E93" s="310" t="s">
        <v>461</v>
      </c>
      <c r="F93" s="311"/>
      <c r="G93" s="311"/>
      <c r="H93" s="312"/>
    </row>
    <row r="94" spans="3:8" ht="33.6" customHeight="1" x14ac:dyDescent="0.25">
      <c r="C94" s="101" t="s">
        <v>306</v>
      </c>
      <c r="D94" s="109">
        <v>45744</v>
      </c>
      <c r="E94" s="310" t="s">
        <v>462</v>
      </c>
      <c r="F94" s="311"/>
      <c r="G94" s="311"/>
      <c r="H94" s="312"/>
    </row>
    <row r="95" spans="3:8" ht="33.6" customHeight="1" x14ac:dyDescent="0.25">
      <c r="C95" s="101" t="s">
        <v>320</v>
      </c>
      <c r="D95" s="109">
        <v>45744</v>
      </c>
      <c r="E95" s="310" t="s">
        <v>463</v>
      </c>
      <c r="F95" s="311"/>
      <c r="G95" s="311"/>
      <c r="H95" s="312"/>
    </row>
    <row r="96" spans="3:8" ht="33.6" customHeight="1" x14ac:dyDescent="0.25">
      <c r="C96" s="101" t="s">
        <v>374</v>
      </c>
      <c r="D96" s="109">
        <v>45744</v>
      </c>
      <c r="E96" s="310" t="s">
        <v>464</v>
      </c>
      <c r="F96" s="311"/>
      <c r="G96" s="311"/>
      <c r="H96" s="312"/>
    </row>
    <row r="97" spans="3:8" ht="33.6" customHeight="1" x14ac:dyDescent="0.25">
      <c r="C97" s="101" t="s">
        <v>339</v>
      </c>
      <c r="D97" s="109">
        <v>45744</v>
      </c>
      <c r="E97" s="310" t="s">
        <v>465</v>
      </c>
      <c r="F97" s="311"/>
      <c r="G97" s="311"/>
      <c r="H97" s="312"/>
    </row>
    <row r="98" spans="3:8" ht="33.6" customHeight="1" x14ac:dyDescent="0.25">
      <c r="C98" s="101" t="s">
        <v>400</v>
      </c>
      <c r="D98" s="109">
        <v>45744</v>
      </c>
      <c r="E98" s="310" t="s">
        <v>466</v>
      </c>
      <c r="F98" s="311"/>
      <c r="G98" s="311"/>
      <c r="H98" s="312"/>
    </row>
  </sheetData>
  <sheetProtection algorithmName="SHA-512" hashValue="8HBH3K+uKFIl5WT7L3lScZMgrIqgSEe0DIXz5e7bvDNFaBmD1Cr6lC7YzRfA2yVlKKsxgAnni5AIjLLX+9BYCg==" saltValue="OXFVU6jrEu7mTY0syUAMfQ==" spinCount="100000" sheet="1" formatCells="0" formatColumns="0" formatRows="0" insertRows="0"/>
  <dataConsolidate/>
  <mergeCells count="462">
    <mergeCell ref="AR60:AR62"/>
    <mergeCell ref="AR63:AR67"/>
    <mergeCell ref="AR36:AR38"/>
    <mergeCell ref="AR39:AR41"/>
    <mergeCell ref="AR42:AR43"/>
    <mergeCell ref="AR44:AR46"/>
    <mergeCell ref="AR47:AR51"/>
    <mergeCell ref="AM36:AM38"/>
    <mergeCell ref="AM44:AM46"/>
    <mergeCell ref="AM42:AM43"/>
    <mergeCell ref="AP63:AP67"/>
    <mergeCell ref="AQ63:AQ67"/>
    <mergeCell ref="AP42:AP43"/>
    <mergeCell ref="AQ42:AQ43"/>
    <mergeCell ref="AP44:AP46"/>
    <mergeCell ref="AQ44:AQ46"/>
    <mergeCell ref="AP47:AP51"/>
    <mergeCell ref="AQ47:AQ51"/>
    <mergeCell ref="AP52:AP54"/>
    <mergeCell ref="AQ52:AQ54"/>
    <mergeCell ref="AN63:AN67"/>
    <mergeCell ref="AO63:AO67"/>
    <mergeCell ref="AN36:AN38"/>
    <mergeCell ref="AO36:AO38"/>
    <mergeCell ref="AK60:AK62"/>
    <mergeCell ref="AL60:AL62"/>
    <mergeCell ref="AM60:AM62"/>
    <mergeCell ref="AJ60:AJ61"/>
    <mergeCell ref="AL33:AL35"/>
    <mergeCell ref="AM33:AM35"/>
    <mergeCell ref="AK11:AK14"/>
    <mergeCell ref="AM11:AM14"/>
    <mergeCell ref="AM15:AM22"/>
    <mergeCell ref="AM23:AM26"/>
    <mergeCell ref="AM27:AM32"/>
    <mergeCell ref="AJ23:AJ26"/>
    <mergeCell ref="AJ27:AJ32"/>
    <mergeCell ref="AJ13:AJ14"/>
    <mergeCell ref="AJ15:AJ22"/>
    <mergeCell ref="AL11:AL14"/>
    <mergeCell ref="AL15:AL22"/>
    <mergeCell ref="AL23:AL26"/>
    <mergeCell ref="AL27:AL32"/>
    <mergeCell ref="AK33:AK35"/>
    <mergeCell ref="AL42:AL43"/>
    <mergeCell ref="A55:A59"/>
    <mergeCell ref="B55:B59"/>
    <mergeCell ref="C55:C59"/>
    <mergeCell ref="D55:D59"/>
    <mergeCell ref="E55:E59"/>
    <mergeCell ref="AR11:AR14"/>
    <mergeCell ref="AR15:AR22"/>
    <mergeCell ref="AR23:AR26"/>
    <mergeCell ref="AR27:AR32"/>
    <mergeCell ref="AR33:AR35"/>
    <mergeCell ref="AR52:AR54"/>
    <mergeCell ref="AR55:AR59"/>
    <mergeCell ref="AL47:AL51"/>
    <mergeCell ref="AM47:AM51"/>
    <mergeCell ref="AK55:AK59"/>
    <mergeCell ref="AL55:AL59"/>
    <mergeCell ref="AM55:AM59"/>
    <mergeCell ref="AG47:AG51"/>
    <mergeCell ref="AH47:AH51"/>
    <mergeCell ref="AL52:AL54"/>
    <mergeCell ref="AM52:AM54"/>
    <mergeCell ref="AK47:AK51"/>
    <mergeCell ref="AK52:AK54"/>
    <mergeCell ref="AG55:AG59"/>
    <mergeCell ref="AI60:AI62"/>
    <mergeCell ref="A60:A62"/>
    <mergeCell ref="B60:B62"/>
    <mergeCell ref="C60:C62"/>
    <mergeCell ref="D60:D62"/>
    <mergeCell ref="E60:E62"/>
    <mergeCell ref="F60:F62"/>
    <mergeCell ref="G60:G62"/>
    <mergeCell ref="I60:I62"/>
    <mergeCell ref="J60:J62"/>
    <mergeCell ref="AD60:AD62"/>
    <mergeCell ref="AE60:AE62"/>
    <mergeCell ref="AF60:AF62"/>
    <mergeCell ref="AG60:AG62"/>
    <mergeCell ref="AH60:AH62"/>
    <mergeCell ref="N60:N62"/>
    <mergeCell ref="B47:B51"/>
    <mergeCell ref="AD42:AD43"/>
    <mergeCell ref="AE42:AE43"/>
    <mergeCell ref="AF42:AF43"/>
    <mergeCell ref="AE47:AE51"/>
    <mergeCell ref="AE55:AE59"/>
    <mergeCell ref="AF55:AF59"/>
    <mergeCell ref="AI44:AI46"/>
    <mergeCell ref="AE52:AE54"/>
    <mergeCell ref="AF52:AF54"/>
    <mergeCell ref="N39:N41"/>
    <mergeCell ref="N42:N43"/>
    <mergeCell ref="M44:M46"/>
    <mergeCell ref="N44:N46"/>
    <mergeCell ref="AH55:AH59"/>
    <mergeCell ref="AG52:AG54"/>
    <mergeCell ref="AH52:AH54"/>
    <mergeCell ref="AI52:AI54"/>
    <mergeCell ref="AI47:AI51"/>
    <mergeCell ref="AI55:AI59"/>
    <mergeCell ref="AD52:AD54"/>
    <mergeCell ref="V52:V54"/>
    <mergeCell ref="W52:W54"/>
    <mergeCell ref="AD55:AD59"/>
    <mergeCell ref="Q52:Q54"/>
    <mergeCell ref="R52:R54"/>
    <mergeCell ref="S52:S54"/>
    <mergeCell ref="T52:T54"/>
    <mergeCell ref="U52:U54"/>
    <mergeCell ref="M47:M51"/>
    <mergeCell ref="N47:N51"/>
    <mergeCell ref="N52:N54"/>
    <mergeCell ref="B12:B14"/>
    <mergeCell ref="AE27:AE32"/>
    <mergeCell ref="AD23:AD26"/>
    <mergeCell ref="N27:N32"/>
    <mergeCell ref="AD27:AD32"/>
    <mergeCell ref="AF27:AF32"/>
    <mergeCell ref="N23:N26"/>
    <mergeCell ref="AE15:AE22"/>
    <mergeCell ref="B27:B32"/>
    <mergeCell ref="L27:L32"/>
    <mergeCell ref="M27:M32"/>
    <mergeCell ref="I27:I32"/>
    <mergeCell ref="J27:J32"/>
    <mergeCell ref="K27:K32"/>
    <mergeCell ref="H28:H31"/>
    <mergeCell ref="G27:G32"/>
    <mergeCell ref="A23:A26"/>
    <mergeCell ref="C23:C26"/>
    <mergeCell ref="A15:A22"/>
    <mergeCell ref="C15:C22"/>
    <mergeCell ref="I15:I22"/>
    <mergeCell ref="E15:E22"/>
    <mergeCell ref="F15:F22"/>
    <mergeCell ref="G15:G22"/>
    <mergeCell ref="J15:J22"/>
    <mergeCell ref="D23:D26"/>
    <mergeCell ref="E23:E26"/>
    <mergeCell ref="I23:I26"/>
    <mergeCell ref="J23:J26"/>
    <mergeCell ref="F23:F26"/>
    <mergeCell ref="G23:G26"/>
    <mergeCell ref="B15:B22"/>
    <mergeCell ref="B23:B26"/>
    <mergeCell ref="AG1:AI1"/>
    <mergeCell ref="AG2:AI2"/>
    <mergeCell ref="AG3:AI3"/>
    <mergeCell ref="AG4:AI4"/>
    <mergeCell ref="H7:I7"/>
    <mergeCell ref="F6:G6"/>
    <mergeCell ref="F7:G7"/>
    <mergeCell ref="AE23:AE26"/>
    <mergeCell ref="AF23:AF26"/>
    <mergeCell ref="AG23:AG26"/>
    <mergeCell ref="AH23:AH26"/>
    <mergeCell ref="AI23:AI26"/>
    <mergeCell ref="L23:L26"/>
    <mergeCell ref="M23:M26"/>
    <mergeCell ref="AI15:AI22"/>
    <mergeCell ref="L15:L22"/>
    <mergeCell ref="K23:K26"/>
    <mergeCell ref="A11:I11"/>
    <mergeCell ref="J12:N12"/>
    <mergeCell ref="AD12:AH12"/>
    <mergeCell ref="D8:I8"/>
    <mergeCell ref="D15:D22"/>
    <mergeCell ref="D6:E7"/>
    <mergeCell ref="AI11:AJ11"/>
    <mergeCell ref="H6:I6"/>
    <mergeCell ref="AI12:AI14"/>
    <mergeCell ref="AH13:AH14"/>
    <mergeCell ref="Y13:Y14"/>
    <mergeCell ref="Z13:Z14"/>
    <mergeCell ref="AA13:AA14"/>
    <mergeCell ref="AB13:AB14"/>
    <mergeCell ref="AD15:AD22"/>
    <mergeCell ref="AF15:AF22"/>
    <mergeCell ref="AG15:AG22"/>
    <mergeCell ref="AE13:AE14"/>
    <mergeCell ref="AF13:AF14"/>
    <mergeCell ref="K15:K22"/>
    <mergeCell ref="N15:N22"/>
    <mergeCell ref="H18:H19"/>
    <mergeCell ref="H20:H21"/>
    <mergeCell ref="M15:M22"/>
    <mergeCell ref="R13:X13"/>
    <mergeCell ref="AC13:AC14"/>
    <mergeCell ref="AD13:AD14"/>
    <mergeCell ref="AG13:AG14"/>
    <mergeCell ref="AH15:AH22"/>
    <mergeCell ref="A1:C4"/>
    <mergeCell ref="D1:AF4"/>
    <mergeCell ref="J13:J14"/>
    <mergeCell ref="K13:K14"/>
    <mergeCell ref="L13:L14"/>
    <mergeCell ref="M13:M14"/>
    <mergeCell ref="N13:N14"/>
    <mergeCell ref="O13:O14"/>
    <mergeCell ref="P13:P14"/>
    <mergeCell ref="Q13:Q14"/>
    <mergeCell ref="A12:A14"/>
    <mergeCell ref="C12:C14"/>
    <mergeCell ref="D12:D14"/>
    <mergeCell ref="E12:E14"/>
    <mergeCell ref="F12:F14"/>
    <mergeCell ref="G12:G14"/>
    <mergeCell ref="H12:H14"/>
    <mergeCell ref="I12:I14"/>
    <mergeCell ref="A6:C7"/>
    <mergeCell ref="A9:C9"/>
    <mergeCell ref="A8:C8"/>
    <mergeCell ref="O12:X12"/>
    <mergeCell ref="J11:AH11"/>
    <mergeCell ref="D9:I9"/>
    <mergeCell ref="I33:I35"/>
    <mergeCell ref="J33:J35"/>
    <mergeCell ref="K33:K35"/>
    <mergeCell ref="L33:L35"/>
    <mergeCell ref="M33:M35"/>
    <mergeCell ref="N33:N35"/>
    <mergeCell ref="A27:A32"/>
    <mergeCell ref="C27:C32"/>
    <mergeCell ref="D27:D32"/>
    <mergeCell ref="E27:E32"/>
    <mergeCell ref="F27:F32"/>
    <mergeCell ref="A33:A35"/>
    <mergeCell ref="B33:B35"/>
    <mergeCell ref="C33:C35"/>
    <mergeCell ref="D33:D35"/>
    <mergeCell ref="E33:E35"/>
    <mergeCell ref="F33:F35"/>
    <mergeCell ref="G33:G35"/>
    <mergeCell ref="AG27:AG32"/>
    <mergeCell ref="AH27:AH32"/>
    <mergeCell ref="AI27:AI32"/>
    <mergeCell ref="AF47:AF51"/>
    <mergeCell ref="AE39:AE41"/>
    <mergeCell ref="AF39:AF41"/>
    <mergeCell ref="AD36:AD38"/>
    <mergeCell ref="AE36:AE38"/>
    <mergeCell ref="AF36:AF38"/>
    <mergeCell ref="AH39:AH41"/>
    <mergeCell ref="AG42:AG43"/>
    <mergeCell ref="AH44:AH46"/>
    <mergeCell ref="AD44:AD46"/>
    <mergeCell ref="AE44:AE46"/>
    <mergeCell ref="AF44:AF46"/>
    <mergeCell ref="AD39:AD41"/>
    <mergeCell ref="AD47:AD51"/>
    <mergeCell ref="N36:N38"/>
    <mergeCell ref="AK36:AK38"/>
    <mergeCell ref="AK39:AK41"/>
    <mergeCell ref="AJ39:AJ41"/>
    <mergeCell ref="E96:H96"/>
    <mergeCell ref="AM63:AM67"/>
    <mergeCell ref="E75:H75"/>
    <mergeCell ref="A68:AI68"/>
    <mergeCell ref="AI63:AI67"/>
    <mergeCell ref="AH63:AH67"/>
    <mergeCell ref="AD63:AD67"/>
    <mergeCell ref="AE63:AE67"/>
    <mergeCell ref="AF63:AF67"/>
    <mergeCell ref="AG63:AG67"/>
    <mergeCell ref="I63:I67"/>
    <mergeCell ref="J63:J67"/>
    <mergeCell ref="K63:K67"/>
    <mergeCell ref="L63:L67"/>
    <mergeCell ref="M63:M67"/>
    <mergeCell ref="N63:N67"/>
    <mergeCell ref="AL63:AL67"/>
    <mergeCell ref="AG36:AG38"/>
    <mergeCell ref="AH36:AH38"/>
    <mergeCell ref="AI39:AI41"/>
    <mergeCell ref="B63:B67"/>
    <mergeCell ref="AK63:AK67"/>
    <mergeCell ref="AJ63:AJ67"/>
    <mergeCell ref="E90:H90"/>
    <mergeCell ref="A63:A67"/>
    <mergeCell ref="E91:H91"/>
    <mergeCell ref="A52:A54"/>
    <mergeCell ref="B52:B54"/>
    <mergeCell ref="C52:C54"/>
    <mergeCell ref="D52:D54"/>
    <mergeCell ref="E52:E54"/>
    <mergeCell ref="C63:C67"/>
    <mergeCell ref="D63:D67"/>
    <mergeCell ref="E63:E67"/>
    <mergeCell ref="F63:F67"/>
    <mergeCell ref="G63:G67"/>
    <mergeCell ref="E87:H87"/>
    <mergeCell ref="E84:H84"/>
    <mergeCell ref="E85:H85"/>
    <mergeCell ref="E86:H86"/>
    <mergeCell ref="E76:H76"/>
    <mergeCell ref="E77:H77"/>
    <mergeCell ref="E78:H78"/>
    <mergeCell ref="E79:H79"/>
    <mergeCell ref="A47:A51"/>
    <mergeCell ref="C47:C51"/>
    <mergeCell ref="D47:D51"/>
    <mergeCell ref="E47:E51"/>
    <mergeCell ref="I36:I38"/>
    <mergeCell ref="J36:J38"/>
    <mergeCell ref="K36:K38"/>
    <mergeCell ref="L36:L38"/>
    <mergeCell ref="L39:L41"/>
    <mergeCell ref="I42:I43"/>
    <mergeCell ref="J42:J43"/>
    <mergeCell ref="K42:K43"/>
    <mergeCell ref="L42:L43"/>
    <mergeCell ref="I39:I41"/>
    <mergeCell ref="J39:J41"/>
    <mergeCell ref="K39:K41"/>
    <mergeCell ref="I47:I51"/>
    <mergeCell ref="A36:A38"/>
    <mergeCell ref="B36:B38"/>
    <mergeCell ref="C36:C38"/>
    <mergeCell ref="D36:D38"/>
    <mergeCell ref="E36:E38"/>
    <mergeCell ref="F36:F38"/>
    <mergeCell ref="G36:G38"/>
    <mergeCell ref="A39:A41"/>
    <mergeCell ref="C39:C41"/>
    <mergeCell ref="B39:B41"/>
    <mergeCell ref="D39:D41"/>
    <mergeCell ref="E39:E41"/>
    <mergeCell ref="F39:F41"/>
    <mergeCell ref="G39:G41"/>
    <mergeCell ref="D42:D43"/>
    <mergeCell ref="E42:E43"/>
    <mergeCell ref="F42:F43"/>
    <mergeCell ref="G42:G43"/>
    <mergeCell ref="A44:A46"/>
    <mergeCell ref="B44:B46"/>
    <mergeCell ref="C44:C46"/>
    <mergeCell ref="D44:D46"/>
    <mergeCell ref="E44:E46"/>
    <mergeCell ref="F44:F46"/>
    <mergeCell ref="G44:G46"/>
    <mergeCell ref="A42:A43"/>
    <mergeCell ref="B42:B43"/>
    <mergeCell ref="C42:C43"/>
    <mergeCell ref="E80:H80"/>
    <mergeCell ref="E81:H81"/>
    <mergeCell ref="E82:H82"/>
    <mergeCell ref="E83:H83"/>
    <mergeCell ref="I44:I46"/>
    <mergeCell ref="J44:J46"/>
    <mergeCell ref="K44:K46"/>
    <mergeCell ref="L44:L46"/>
    <mergeCell ref="J47:J51"/>
    <mergeCell ref="K47:K51"/>
    <mergeCell ref="L47:L51"/>
    <mergeCell ref="J55:J59"/>
    <mergeCell ref="H66:H67"/>
    <mergeCell ref="F55:F59"/>
    <mergeCell ref="G55:G59"/>
    <mergeCell ref="I55:I59"/>
    <mergeCell ref="F47:F51"/>
    <mergeCell ref="G47:G51"/>
    <mergeCell ref="E88:H88"/>
    <mergeCell ref="M36:M38"/>
    <mergeCell ref="M39:M41"/>
    <mergeCell ref="M42:M43"/>
    <mergeCell ref="E95:H95"/>
    <mergeCell ref="AG44:AG46"/>
    <mergeCell ref="E93:H93"/>
    <mergeCell ref="E94:H94"/>
    <mergeCell ref="X52:X54"/>
    <mergeCell ref="Y52:Y54"/>
    <mergeCell ref="Z52:Z54"/>
    <mergeCell ref="AA52:AA54"/>
    <mergeCell ref="AB52:AB54"/>
    <mergeCell ref="AC52:AC54"/>
    <mergeCell ref="P52:P54"/>
    <mergeCell ref="O52:O54"/>
    <mergeCell ref="L52:L54"/>
    <mergeCell ref="K55:K59"/>
    <mergeCell ref="L55:L59"/>
    <mergeCell ref="K60:K62"/>
    <mergeCell ref="E92:H92"/>
    <mergeCell ref="M55:M59"/>
    <mergeCell ref="N55:N59"/>
    <mergeCell ref="M60:M62"/>
    <mergeCell ref="AN44:AN46"/>
    <mergeCell ref="AO44:AO46"/>
    <mergeCell ref="AN47:AN51"/>
    <mergeCell ref="AO47:AO51"/>
    <mergeCell ref="AN52:AN54"/>
    <mergeCell ref="AO52:AO54"/>
    <mergeCell ref="E97:H97"/>
    <mergeCell ref="E98:H98"/>
    <mergeCell ref="AD33:AD35"/>
    <mergeCell ref="AE33:AE35"/>
    <mergeCell ref="AF33:AF35"/>
    <mergeCell ref="AG33:AG35"/>
    <mergeCell ref="AH33:AH35"/>
    <mergeCell ref="AI33:AI35"/>
    <mergeCell ref="L60:L62"/>
    <mergeCell ref="M52:M54"/>
    <mergeCell ref="I52:I54"/>
    <mergeCell ref="J52:J54"/>
    <mergeCell ref="K52:K54"/>
    <mergeCell ref="F52:F54"/>
    <mergeCell ref="G52:G54"/>
    <mergeCell ref="AH42:AH43"/>
    <mergeCell ref="AI42:AI43"/>
    <mergeCell ref="E89:H89"/>
    <mergeCell ref="AN55:AN59"/>
    <mergeCell ref="AO55:AO59"/>
    <mergeCell ref="AN60:AN62"/>
    <mergeCell ref="AO60:AO62"/>
    <mergeCell ref="AL44:AL46"/>
    <mergeCell ref="AK42:AK43"/>
    <mergeCell ref="AG39:AG41"/>
    <mergeCell ref="AI36:AI38"/>
    <mergeCell ref="AP11:AP14"/>
    <mergeCell ref="AN33:AN35"/>
    <mergeCell ref="AO33:AO35"/>
    <mergeCell ref="AJ33:AJ35"/>
    <mergeCell ref="AK23:AK26"/>
    <mergeCell ref="AK15:AK22"/>
    <mergeCell ref="AK27:AK32"/>
    <mergeCell ref="AK44:AK46"/>
    <mergeCell ref="AM39:AM41"/>
    <mergeCell ref="AL36:AL38"/>
    <mergeCell ref="AL39:AL41"/>
    <mergeCell ref="AP55:AP59"/>
    <mergeCell ref="AN39:AN41"/>
    <mergeCell ref="AO39:AO41"/>
    <mergeCell ref="AN42:AN43"/>
    <mergeCell ref="AO42:AO43"/>
    <mergeCell ref="AQ11:AQ14"/>
    <mergeCell ref="AN11:AN14"/>
    <mergeCell ref="AO11:AO14"/>
    <mergeCell ref="AN15:AN22"/>
    <mergeCell ref="AO15:AO22"/>
    <mergeCell ref="AN23:AN26"/>
    <mergeCell ref="AO23:AO26"/>
    <mergeCell ref="AN27:AN32"/>
    <mergeCell ref="AO27:AO32"/>
    <mergeCell ref="AQ55:AQ59"/>
    <mergeCell ref="AP60:AP62"/>
    <mergeCell ref="AQ60:AQ62"/>
    <mergeCell ref="AP15:AP22"/>
    <mergeCell ref="AQ15:AQ22"/>
    <mergeCell ref="AP23:AP26"/>
    <mergeCell ref="AQ23:AQ26"/>
    <mergeCell ref="AP27:AP32"/>
    <mergeCell ref="AQ27:AQ32"/>
    <mergeCell ref="AP33:AP35"/>
    <mergeCell ref="AQ33:AQ35"/>
    <mergeCell ref="AP36:AP38"/>
    <mergeCell ref="AQ36:AQ38"/>
    <mergeCell ref="AP39:AP41"/>
    <mergeCell ref="AQ39:AQ41"/>
  </mergeCells>
  <phoneticPr fontId="46" type="noConversion"/>
  <conditionalFormatting sqref="J15 Z15:Z67">
    <cfRule type="cellIs" dxfId="293" priority="1054" operator="equal">
      <formula>"Media"</formula>
    </cfRule>
    <cfRule type="cellIs" dxfId="292" priority="1052" operator="equal">
      <formula>"Muy Alta"</formula>
    </cfRule>
    <cfRule type="cellIs" dxfId="291" priority="1055" operator="equal">
      <formula>"Baja"</formula>
    </cfRule>
    <cfRule type="cellIs" dxfId="290" priority="1053" operator="equal">
      <formula>"Alta"</formula>
    </cfRule>
    <cfRule type="cellIs" dxfId="289" priority="1056" operator="equal">
      <formula>"Muy Baja"</formula>
    </cfRule>
  </conditionalFormatting>
  <conditionalFormatting sqref="J23 J27 J33 J39 J63">
    <cfRule type="cellIs" dxfId="288" priority="825" operator="equal">
      <formula>"Baja"</formula>
    </cfRule>
    <cfRule type="cellIs" dxfId="287" priority="823" operator="equal">
      <formula>"Alta"</formula>
    </cfRule>
    <cfRule type="cellIs" dxfId="286" priority="826" operator="equal">
      <formula>"Muy Baja"</formula>
    </cfRule>
    <cfRule type="cellIs" dxfId="285" priority="822" operator="equal">
      <formula>"Muy Alta"</formula>
    </cfRule>
    <cfRule type="cellIs" dxfId="284" priority="824" operator="equal">
      <formula>"Media"</formula>
    </cfRule>
  </conditionalFormatting>
  <conditionalFormatting sqref="J36">
    <cfRule type="cellIs" dxfId="283" priority="324" operator="equal">
      <formula>"Muy Alta"</formula>
    </cfRule>
    <cfRule type="cellIs" dxfId="282" priority="325" operator="equal">
      <formula>"Alta"</formula>
    </cfRule>
    <cfRule type="cellIs" dxfId="281" priority="326" operator="equal">
      <formula>"Media"</formula>
    </cfRule>
    <cfRule type="cellIs" dxfId="280" priority="327" operator="equal">
      <formula>"Baja"</formula>
    </cfRule>
    <cfRule type="cellIs" dxfId="279" priority="328" operator="equal">
      <formula>"Muy Baja"</formula>
    </cfRule>
  </conditionalFormatting>
  <conditionalFormatting sqref="J42">
    <cfRule type="cellIs" dxfId="278" priority="275" operator="equal">
      <formula>"Baja"</formula>
    </cfRule>
    <cfRule type="cellIs" dxfId="277" priority="274" operator="equal">
      <formula>"Media"</formula>
    </cfRule>
    <cfRule type="cellIs" dxfId="276" priority="273" operator="equal">
      <formula>"Alta"</formula>
    </cfRule>
    <cfRule type="cellIs" dxfId="275" priority="272" operator="equal">
      <formula>"Muy Alta"</formula>
    </cfRule>
    <cfRule type="cellIs" dxfId="274" priority="276" operator="equal">
      <formula>"Muy Baja"</formula>
    </cfRule>
  </conditionalFormatting>
  <conditionalFormatting sqref="J44">
    <cfRule type="cellIs" dxfId="273" priority="164" operator="equal">
      <formula>"Muy Baja"</formula>
    </cfRule>
    <cfRule type="cellIs" dxfId="272" priority="163" operator="equal">
      <formula>"Baja"</formula>
    </cfRule>
    <cfRule type="cellIs" dxfId="271" priority="162" operator="equal">
      <formula>"Media"</formula>
    </cfRule>
    <cfRule type="cellIs" dxfId="270" priority="161" operator="equal">
      <formula>"Alta"</formula>
    </cfRule>
    <cfRule type="cellIs" dxfId="269" priority="160" operator="equal">
      <formula>"Muy Alta"</formula>
    </cfRule>
  </conditionalFormatting>
  <conditionalFormatting sqref="J47">
    <cfRule type="cellIs" dxfId="268" priority="135" operator="equal">
      <formula>"Baja"</formula>
    </cfRule>
    <cfRule type="cellIs" dxfId="267" priority="134" operator="equal">
      <formula>"Media"</formula>
    </cfRule>
    <cfRule type="cellIs" dxfId="266" priority="132" operator="equal">
      <formula>"Muy Alta"</formula>
    </cfRule>
    <cfRule type="cellIs" dxfId="265" priority="133" operator="equal">
      <formula>"Alta"</formula>
    </cfRule>
    <cfRule type="cellIs" dxfId="264" priority="136" operator="equal">
      <formula>"Muy Baja"</formula>
    </cfRule>
  </conditionalFormatting>
  <conditionalFormatting sqref="J52">
    <cfRule type="cellIs" dxfId="263" priority="310" operator="equal">
      <formula>"Muy Alta"</formula>
    </cfRule>
    <cfRule type="cellIs" dxfId="262" priority="314" operator="equal">
      <formula>"Muy Baja"</formula>
    </cfRule>
    <cfRule type="cellIs" dxfId="261" priority="313" operator="equal">
      <formula>"Baja"</formula>
    </cfRule>
    <cfRule type="cellIs" dxfId="260" priority="312" operator="equal">
      <formula>"Media"</formula>
    </cfRule>
    <cfRule type="cellIs" dxfId="259" priority="311" operator="equal">
      <formula>"Alta"</formula>
    </cfRule>
  </conditionalFormatting>
  <conditionalFormatting sqref="J55">
    <cfRule type="cellIs" dxfId="258" priority="146" operator="equal">
      <formula>"Muy Alta"</formula>
    </cfRule>
    <cfRule type="cellIs" dxfId="257" priority="147" operator="equal">
      <formula>"Alta"</formula>
    </cfRule>
    <cfRule type="cellIs" dxfId="256" priority="150" operator="equal">
      <formula>"Muy Baja"</formula>
    </cfRule>
    <cfRule type="cellIs" dxfId="255" priority="149" operator="equal">
      <formula>"Baja"</formula>
    </cfRule>
    <cfRule type="cellIs" dxfId="254" priority="148" operator="equal">
      <formula>"Media"</formula>
    </cfRule>
  </conditionalFormatting>
  <conditionalFormatting sqref="J60">
    <cfRule type="cellIs" dxfId="253" priority="58" operator="equal">
      <formula>"Muy Baja"</formula>
    </cfRule>
    <cfRule type="cellIs" dxfId="252" priority="57" operator="equal">
      <formula>"Baja"</formula>
    </cfRule>
    <cfRule type="cellIs" dxfId="251" priority="56" operator="equal">
      <formula>"Media"</formula>
    </cfRule>
    <cfRule type="cellIs" dxfId="250" priority="55" operator="equal">
      <formula>"Alta"</formula>
    </cfRule>
    <cfRule type="cellIs" dxfId="249" priority="54" operator="equal">
      <formula>"Muy Alta"</formula>
    </cfRule>
  </conditionalFormatting>
  <conditionalFormatting sqref="L15 AB15:AB67">
    <cfRule type="cellIs" dxfId="248" priority="1050" operator="equal">
      <formula>"Menor"</formula>
    </cfRule>
    <cfRule type="cellIs" dxfId="247" priority="1051" operator="equal">
      <formula>"Leve"</formula>
    </cfRule>
    <cfRule type="cellIs" dxfId="246" priority="1047" operator="equal">
      <formula>"Catastrófico"</formula>
    </cfRule>
    <cfRule type="cellIs" dxfId="245" priority="1048" operator="equal">
      <formula>"Mayor"</formula>
    </cfRule>
    <cfRule type="cellIs" dxfId="244" priority="1049" operator="equal">
      <formula>"Moderado"</formula>
    </cfRule>
  </conditionalFormatting>
  <conditionalFormatting sqref="L23 L27 L33 L39 L63">
    <cfRule type="cellIs" dxfId="243" priority="821" operator="equal">
      <formula>"Leve"</formula>
    </cfRule>
    <cfRule type="cellIs" dxfId="242" priority="819" operator="equal">
      <formula>"Moderado"</formula>
    </cfRule>
    <cfRule type="cellIs" dxfId="241" priority="817" operator="equal">
      <formula>"Catastrófico"</formula>
    </cfRule>
    <cfRule type="cellIs" dxfId="240" priority="818" operator="equal">
      <formula>"Mayor"</formula>
    </cfRule>
    <cfRule type="cellIs" dxfId="239" priority="820" operator="equal">
      <formula>"Menor"</formula>
    </cfRule>
  </conditionalFormatting>
  <conditionalFormatting sqref="L36">
    <cfRule type="cellIs" dxfId="238" priority="321" operator="equal">
      <formula>"Moderado"</formula>
    </cfRule>
    <cfRule type="cellIs" dxfId="237" priority="319" operator="equal">
      <formula>"Catastrófico"</formula>
    </cfRule>
    <cfRule type="cellIs" dxfId="236" priority="323" operator="equal">
      <formula>"Leve"</formula>
    </cfRule>
    <cfRule type="cellIs" dxfId="235" priority="320" operator="equal">
      <formula>"Mayor"</formula>
    </cfRule>
    <cfRule type="cellIs" dxfId="234" priority="322" operator="equal">
      <formula>"Menor"</formula>
    </cfRule>
  </conditionalFormatting>
  <conditionalFormatting sqref="L42">
    <cfRule type="cellIs" dxfId="233" priority="269" operator="equal">
      <formula>"Moderado"</formula>
    </cfRule>
    <cfRule type="cellIs" dxfId="232" priority="270" operator="equal">
      <formula>"Menor"</formula>
    </cfRule>
    <cfRule type="cellIs" dxfId="231" priority="268" operator="equal">
      <formula>"Mayor"</formula>
    </cfRule>
    <cfRule type="cellIs" dxfId="230" priority="267" operator="equal">
      <formula>"Catastrófico"</formula>
    </cfRule>
    <cfRule type="cellIs" dxfId="229" priority="271" operator="equal">
      <formula>"Leve"</formula>
    </cfRule>
  </conditionalFormatting>
  <conditionalFormatting sqref="L44">
    <cfRule type="cellIs" dxfId="228" priority="159" operator="equal">
      <formula>"Leve"</formula>
    </cfRule>
    <cfRule type="cellIs" dxfId="227" priority="158" operator="equal">
      <formula>"Menor"</formula>
    </cfRule>
    <cfRule type="cellIs" dxfId="226" priority="157" operator="equal">
      <formula>"Moderado"</formula>
    </cfRule>
    <cfRule type="cellIs" dxfId="225" priority="156" operator="equal">
      <formula>"Mayor"</formula>
    </cfRule>
    <cfRule type="cellIs" dxfId="224" priority="155" operator="equal">
      <formula>"Catastrófico"</formula>
    </cfRule>
  </conditionalFormatting>
  <conditionalFormatting sqref="L47">
    <cfRule type="cellIs" dxfId="223" priority="131" operator="equal">
      <formula>"Leve"</formula>
    </cfRule>
    <cfRule type="cellIs" dxfId="222" priority="127" operator="equal">
      <formula>"Catastrófico"</formula>
    </cfRule>
    <cfRule type="cellIs" dxfId="221" priority="128" operator="equal">
      <formula>"Mayor"</formula>
    </cfRule>
    <cfRule type="cellIs" dxfId="220" priority="129" operator="equal">
      <formula>"Moderado"</formula>
    </cfRule>
    <cfRule type="cellIs" dxfId="219" priority="130" operator="equal">
      <formula>"Menor"</formula>
    </cfRule>
  </conditionalFormatting>
  <conditionalFormatting sqref="L52">
    <cfRule type="cellIs" dxfId="218" priority="309" operator="equal">
      <formula>"Leve"</formula>
    </cfRule>
    <cfRule type="cellIs" dxfId="217" priority="308" operator="equal">
      <formula>"Menor"</formula>
    </cfRule>
    <cfRule type="cellIs" dxfId="216" priority="307" operator="equal">
      <formula>"Moderado"</formula>
    </cfRule>
    <cfRule type="cellIs" dxfId="215" priority="306" operator="equal">
      <formula>"Mayor"</formula>
    </cfRule>
    <cfRule type="cellIs" dxfId="214" priority="305" operator="equal">
      <formula>"Catastrófico"</formula>
    </cfRule>
  </conditionalFormatting>
  <conditionalFormatting sqref="L55">
    <cfRule type="cellIs" dxfId="213" priority="142" operator="equal">
      <formula>"Mayor"</formula>
    </cfRule>
    <cfRule type="cellIs" dxfId="212" priority="145" operator="equal">
      <formula>"Leve"</formula>
    </cfRule>
    <cfRule type="cellIs" dxfId="211" priority="141" operator="equal">
      <formula>"Catastrófico"</formula>
    </cfRule>
    <cfRule type="cellIs" dxfId="210" priority="143" operator="equal">
      <formula>"Moderado"</formula>
    </cfRule>
    <cfRule type="cellIs" dxfId="209" priority="144" operator="equal">
      <formula>"Menor"</formula>
    </cfRule>
  </conditionalFormatting>
  <conditionalFormatting sqref="L60">
    <cfRule type="cellIs" dxfId="208" priority="53" operator="equal">
      <formula>"Leve"</formula>
    </cfRule>
    <cfRule type="cellIs" dxfId="207" priority="52" operator="equal">
      <formula>"Menor"</formula>
    </cfRule>
    <cfRule type="cellIs" dxfId="206" priority="51" operator="equal">
      <formula>"Moderado"</formula>
    </cfRule>
    <cfRule type="cellIs" dxfId="205" priority="50" operator="equal">
      <formula>"Mayor"</formula>
    </cfRule>
    <cfRule type="cellIs" dxfId="204" priority="49" operator="equal">
      <formula>"Catastrófico"</formula>
    </cfRule>
  </conditionalFormatting>
  <conditionalFormatting sqref="N15">
    <cfRule type="cellIs" dxfId="203" priority="1044" operator="equal">
      <formula>"Alto"</formula>
    </cfRule>
    <cfRule type="cellIs" dxfId="202" priority="1045" operator="equal">
      <formula>"Moderado"</formula>
    </cfRule>
    <cfRule type="cellIs" dxfId="201" priority="1046" operator="equal">
      <formula>"Bajo"</formula>
    </cfRule>
    <cfRule type="cellIs" dxfId="200" priority="1043" operator="equal">
      <formula>"Extremo"</formula>
    </cfRule>
  </conditionalFormatting>
  <conditionalFormatting sqref="N23 N27 N33 N39 N63">
    <cfRule type="cellIs" dxfId="199" priority="685" operator="equal">
      <formula>"Moderado"</formula>
    </cfRule>
    <cfRule type="cellIs" dxfId="198" priority="686" operator="equal">
      <formula>"Bajo"</formula>
    </cfRule>
    <cfRule type="cellIs" dxfId="197" priority="683" operator="equal">
      <formula>"Extremo"</formula>
    </cfRule>
    <cfRule type="cellIs" dxfId="196" priority="684" operator="equal">
      <formula>"Alto"</formula>
    </cfRule>
  </conditionalFormatting>
  <conditionalFormatting sqref="N36">
    <cfRule type="cellIs" dxfId="195" priority="317" operator="equal">
      <formula>"Moderado"</formula>
    </cfRule>
    <cfRule type="cellIs" dxfId="194" priority="316" operator="equal">
      <formula>"Alto"</formula>
    </cfRule>
    <cfRule type="cellIs" dxfId="193" priority="315" operator="equal">
      <formula>"Extremo"</formula>
    </cfRule>
    <cfRule type="cellIs" dxfId="192" priority="318" operator="equal">
      <formula>"Bajo"</formula>
    </cfRule>
  </conditionalFormatting>
  <conditionalFormatting sqref="N42">
    <cfRule type="cellIs" dxfId="191" priority="264" operator="equal">
      <formula>"Alto"</formula>
    </cfRule>
    <cfRule type="cellIs" dxfId="190" priority="265" operator="equal">
      <formula>"Moderado"</formula>
    </cfRule>
    <cfRule type="cellIs" dxfId="189" priority="266" operator="equal">
      <formula>"Bajo"</formula>
    </cfRule>
    <cfRule type="cellIs" dxfId="188" priority="263" operator="equal">
      <formula>"Extremo"</formula>
    </cfRule>
  </conditionalFormatting>
  <conditionalFormatting sqref="N44">
    <cfRule type="cellIs" dxfId="187" priority="152" operator="equal">
      <formula>"Alto"</formula>
    </cfRule>
    <cfRule type="cellIs" dxfId="186" priority="151" operator="equal">
      <formula>"Extremo"</formula>
    </cfRule>
    <cfRule type="cellIs" dxfId="185" priority="153" operator="equal">
      <formula>"Moderado"</formula>
    </cfRule>
    <cfRule type="cellIs" dxfId="184" priority="154" operator="equal">
      <formula>"Bajo"</formula>
    </cfRule>
  </conditionalFormatting>
  <conditionalFormatting sqref="N47">
    <cfRule type="cellIs" dxfId="183" priority="126" operator="equal">
      <formula>"Bajo"</formula>
    </cfRule>
    <cfRule type="cellIs" dxfId="182" priority="124" operator="equal">
      <formula>"Alto"</formula>
    </cfRule>
    <cfRule type="cellIs" dxfId="181" priority="125" operator="equal">
      <formula>"Moderado"</formula>
    </cfRule>
    <cfRule type="cellIs" dxfId="180" priority="123" operator="equal">
      <formula>"Extremo"</formula>
    </cfRule>
  </conditionalFormatting>
  <conditionalFormatting sqref="N52">
    <cfRule type="cellIs" dxfId="179" priority="304" operator="equal">
      <formula>"Bajo"</formula>
    </cfRule>
    <cfRule type="cellIs" dxfId="178" priority="301" operator="equal">
      <formula>"Extremo"</formula>
    </cfRule>
    <cfRule type="cellIs" dxfId="177" priority="302" operator="equal">
      <formula>"Alto"</formula>
    </cfRule>
    <cfRule type="cellIs" dxfId="176" priority="303" operator="equal">
      <formula>"Moderado"</formula>
    </cfRule>
  </conditionalFormatting>
  <conditionalFormatting sqref="N55">
    <cfRule type="cellIs" dxfId="175" priority="139" operator="equal">
      <formula>"Moderado"</formula>
    </cfRule>
    <cfRule type="cellIs" dxfId="174" priority="137" operator="equal">
      <formula>"Extremo"</formula>
    </cfRule>
    <cfRule type="cellIs" dxfId="173" priority="140" operator="equal">
      <formula>"Bajo"</formula>
    </cfRule>
    <cfRule type="cellIs" dxfId="172" priority="138" operator="equal">
      <formula>"Alto"</formula>
    </cfRule>
  </conditionalFormatting>
  <conditionalFormatting sqref="N60">
    <cfRule type="cellIs" dxfId="171" priority="45" operator="equal">
      <formula>"Extremo"</formula>
    </cfRule>
    <cfRule type="cellIs" dxfId="170" priority="46" operator="equal">
      <formula>"Alto"</formula>
    </cfRule>
    <cfRule type="cellIs" dxfId="169" priority="47" operator="equal">
      <formula>"Moderado"</formula>
    </cfRule>
    <cfRule type="cellIs" dxfId="168" priority="48" operator="equal">
      <formula>"Bajo"</formula>
    </cfRule>
  </conditionalFormatting>
  <conditionalFormatting sqref="AD15">
    <cfRule type="cellIs" dxfId="167" priority="836" operator="equal">
      <formula>"Muy Baja"</formula>
    </cfRule>
    <cfRule type="cellIs" dxfId="166" priority="832" operator="equal">
      <formula>"Muy Alta"</formula>
    </cfRule>
    <cfRule type="cellIs" dxfId="165" priority="835" operator="equal">
      <formula>"Baja"</formula>
    </cfRule>
    <cfRule type="cellIs" dxfId="164" priority="834" operator="equal">
      <formula>"Media"</formula>
    </cfRule>
    <cfRule type="cellIs" dxfId="163" priority="833" operator="equal">
      <formula>"Alta"</formula>
    </cfRule>
  </conditionalFormatting>
  <conditionalFormatting sqref="AD23 AD27 AD33 AD39 AD63">
    <cfRule type="cellIs" dxfId="162" priority="650" operator="equal">
      <formula>"Muy Alta"</formula>
    </cfRule>
    <cfRule type="cellIs" dxfId="161" priority="651" operator="equal">
      <formula>"Alta"</formula>
    </cfRule>
    <cfRule type="cellIs" dxfId="160" priority="652" operator="equal">
      <formula>"Media"</formula>
    </cfRule>
    <cfRule type="cellIs" dxfId="159" priority="653" operator="equal">
      <formula>"Baja"</formula>
    </cfRule>
    <cfRule type="cellIs" dxfId="158" priority="654" operator="equal">
      <formula>"Muy Baja"</formula>
    </cfRule>
  </conditionalFormatting>
  <conditionalFormatting sqref="AD36">
    <cfRule type="cellIs" dxfId="157" priority="334" operator="equal">
      <formula>"Muy Alta"</formula>
    </cfRule>
    <cfRule type="cellIs" dxfId="156" priority="335" operator="equal">
      <formula>"Alta"</formula>
    </cfRule>
    <cfRule type="cellIs" dxfId="155" priority="338" operator="equal">
      <formula>"Muy Baja"</formula>
    </cfRule>
    <cfRule type="cellIs" dxfId="154" priority="337" operator="equal">
      <formula>"Baja"</formula>
    </cfRule>
    <cfRule type="cellIs" dxfId="153" priority="336" operator="equal">
      <formula>"Media"</formula>
    </cfRule>
  </conditionalFormatting>
  <conditionalFormatting sqref="AD42">
    <cfRule type="cellIs" dxfId="152" priority="260" operator="equal">
      <formula>"Media"</formula>
    </cfRule>
    <cfRule type="cellIs" dxfId="151" priority="259" operator="equal">
      <formula>"Alta"</formula>
    </cfRule>
    <cfRule type="cellIs" dxfId="150" priority="258" operator="equal">
      <formula>"Muy Alta"</formula>
    </cfRule>
    <cfRule type="cellIs" dxfId="149" priority="262" operator="equal">
      <formula>"Muy Baja"</formula>
    </cfRule>
    <cfRule type="cellIs" dxfId="148" priority="261" operator="equal">
      <formula>"Baja"</formula>
    </cfRule>
  </conditionalFormatting>
  <conditionalFormatting sqref="AD44">
    <cfRule type="cellIs" dxfId="147" priority="232" operator="equal">
      <formula>"Media"</formula>
    </cfRule>
    <cfRule type="cellIs" dxfId="146" priority="230" operator="equal">
      <formula>"Muy Alta"</formula>
    </cfRule>
    <cfRule type="cellIs" dxfId="145" priority="231" operator="equal">
      <formula>"Alta"</formula>
    </cfRule>
    <cfRule type="cellIs" dxfId="144" priority="233" operator="equal">
      <formula>"Baja"</formula>
    </cfRule>
    <cfRule type="cellIs" dxfId="143" priority="234" operator="equal">
      <formula>"Muy Baja"</formula>
    </cfRule>
  </conditionalFormatting>
  <conditionalFormatting sqref="AD47">
    <cfRule type="cellIs" dxfId="142" priority="82" operator="equal">
      <formula>"Muy Baja"</formula>
    </cfRule>
    <cfRule type="cellIs" dxfId="141" priority="78" operator="equal">
      <formula>"Muy Alta"</formula>
    </cfRule>
    <cfRule type="cellIs" dxfId="140" priority="79" operator="equal">
      <formula>"Alta"</formula>
    </cfRule>
    <cfRule type="cellIs" dxfId="139" priority="81" operator="equal">
      <formula>"Baja"</formula>
    </cfRule>
    <cfRule type="cellIs" dxfId="138" priority="80" operator="equal">
      <formula>"Media"</formula>
    </cfRule>
  </conditionalFormatting>
  <conditionalFormatting sqref="AD52">
    <cfRule type="cellIs" dxfId="137" priority="297" operator="equal">
      <formula>"Alta"</formula>
    </cfRule>
    <cfRule type="cellIs" dxfId="136" priority="299" operator="equal">
      <formula>"Baja"</formula>
    </cfRule>
    <cfRule type="cellIs" dxfId="135" priority="300" operator="equal">
      <formula>"Muy Baja"</formula>
    </cfRule>
    <cfRule type="cellIs" dxfId="134" priority="296" operator="equal">
      <formula>"Muy Alta"</formula>
    </cfRule>
    <cfRule type="cellIs" dxfId="133" priority="298" operator="equal">
      <formula>"Media"</formula>
    </cfRule>
  </conditionalFormatting>
  <conditionalFormatting sqref="AD55">
    <cfRule type="cellIs" dxfId="132" priority="206" operator="equal">
      <formula>"Muy Baja"</formula>
    </cfRule>
    <cfRule type="cellIs" dxfId="131" priority="205" operator="equal">
      <formula>"Baja"</formula>
    </cfRule>
    <cfRule type="cellIs" dxfId="130" priority="203" operator="equal">
      <formula>"Alta"</formula>
    </cfRule>
    <cfRule type="cellIs" dxfId="129" priority="202" operator="equal">
      <formula>"Muy Alta"</formula>
    </cfRule>
    <cfRule type="cellIs" dxfId="128" priority="204" operator="equal">
      <formula>"Media"</formula>
    </cfRule>
  </conditionalFormatting>
  <conditionalFormatting sqref="AD60">
    <cfRule type="cellIs" dxfId="127" priority="41" operator="equal">
      <formula>"Alta"</formula>
    </cfRule>
    <cfRule type="cellIs" dxfId="126" priority="43" operator="equal">
      <formula>"Baja"</formula>
    </cfRule>
    <cfRule type="cellIs" dxfId="125" priority="40" operator="equal">
      <formula>"Muy Alta"</formula>
    </cfRule>
    <cfRule type="cellIs" dxfId="124" priority="42" operator="equal">
      <formula>"Media"</formula>
    </cfRule>
    <cfRule type="cellIs" dxfId="123" priority="44" operator="equal">
      <formula>"Muy Baja"</formula>
    </cfRule>
  </conditionalFormatting>
  <conditionalFormatting sqref="AF15">
    <cfRule type="cellIs" dxfId="122" priority="827" operator="equal">
      <formula>"Catastrófico"</formula>
    </cfRule>
    <cfRule type="cellIs" dxfId="121" priority="828" operator="equal">
      <formula>"Mayor"</formula>
    </cfRule>
    <cfRule type="cellIs" dxfId="120" priority="829" operator="equal">
      <formula>"Moderado"</formula>
    </cfRule>
    <cfRule type="cellIs" dxfId="119" priority="830" operator="equal">
      <formula>"Menor"</formula>
    </cfRule>
    <cfRule type="cellIs" dxfId="118" priority="831" operator="equal">
      <formula>"Leve"</formula>
    </cfRule>
  </conditionalFormatting>
  <conditionalFormatting sqref="AF23 AF27 AF33 AF39 AF63">
    <cfRule type="cellIs" dxfId="117" priority="646" operator="equal">
      <formula>"Mayor"</formula>
    </cfRule>
    <cfRule type="cellIs" dxfId="116" priority="649" operator="equal">
      <formula>"Leve"</formula>
    </cfRule>
    <cfRule type="cellIs" dxfId="115" priority="648" operator="equal">
      <formula>"Menor"</formula>
    </cfRule>
    <cfRule type="cellIs" dxfId="114" priority="647" operator="equal">
      <formula>"Moderado"</formula>
    </cfRule>
    <cfRule type="cellIs" dxfId="113" priority="645" operator="equal">
      <formula>"Catastrófico"</formula>
    </cfRule>
  </conditionalFormatting>
  <conditionalFormatting sqref="AF36">
    <cfRule type="cellIs" dxfId="112" priority="333" operator="equal">
      <formula>"Leve"</formula>
    </cfRule>
    <cfRule type="cellIs" dxfId="111" priority="329" operator="equal">
      <formula>"Catastrófico"</formula>
    </cfRule>
    <cfRule type="cellIs" dxfId="110" priority="330" operator="equal">
      <formula>"Mayor"</formula>
    </cfRule>
    <cfRule type="cellIs" dxfId="109" priority="331" operator="equal">
      <formula>"Moderado"</formula>
    </cfRule>
    <cfRule type="cellIs" dxfId="108" priority="332" operator="equal">
      <formula>"Menor"</formula>
    </cfRule>
  </conditionalFormatting>
  <conditionalFormatting sqref="AF42">
    <cfRule type="cellIs" dxfId="107" priority="255" operator="equal">
      <formula>"Moderado"</formula>
    </cfRule>
    <cfRule type="cellIs" dxfId="106" priority="254" operator="equal">
      <formula>"Mayor"</formula>
    </cfRule>
    <cfRule type="cellIs" dxfId="105" priority="257" operator="equal">
      <formula>"Leve"</formula>
    </cfRule>
    <cfRule type="cellIs" dxfId="104" priority="253" operator="equal">
      <formula>"Catastrófico"</formula>
    </cfRule>
    <cfRule type="cellIs" dxfId="103" priority="256" operator="equal">
      <formula>"Menor"</formula>
    </cfRule>
  </conditionalFormatting>
  <conditionalFormatting sqref="AF44">
    <cfRule type="cellIs" dxfId="102" priority="228" operator="equal">
      <formula>"Menor"</formula>
    </cfRule>
    <cfRule type="cellIs" dxfId="101" priority="225" operator="equal">
      <formula>"Catastrófico"</formula>
    </cfRule>
    <cfRule type="cellIs" dxfId="100" priority="227" operator="equal">
      <formula>"Moderado"</formula>
    </cfRule>
    <cfRule type="cellIs" dxfId="99" priority="226" operator="equal">
      <formula>"Mayor"</formula>
    </cfRule>
    <cfRule type="cellIs" dxfId="98" priority="229" operator="equal">
      <formula>"Leve"</formula>
    </cfRule>
  </conditionalFormatting>
  <conditionalFormatting sqref="AF47">
    <cfRule type="cellIs" dxfId="97" priority="73" operator="equal">
      <formula>"Catastrófico"</formula>
    </cfRule>
    <cfRule type="cellIs" dxfId="96" priority="75" operator="equal">
      <formula>"Moderado"</formula>
    </cfRule>
    <cfRule type="cellIs" dxfId="95" priority="76" operator="equal">
      <formula>"Menor"</formula>
    </cfRule>
    <cfRule type="cellIs" dxfId="94" priority="77" operator="equal">
      <formula>"Leve"</formula>
    </cfRule>
    <cfRule type="cellIs" dxfId="93" priority="74" operator="equal">
      <formula>"Mayor"</formula>
    </cfRule>
  </conditionalFormatting>
  <conditionalFormatting sqref="AF52">
    <cfRule type="cellIs" dxfId="92" priority="295" operator="equal">
      <formula>"Leve"</formula>
    </cfRule>
    <cfRule type="cellIs" dxfId="91" priority="294" operator="equal">
      <formula>"Menor"</formula>
    </cfRule>
    <cfRule type="cellIs" dxfId="90" priority="292" operator="equal">
      <formula>"Mayor"</formula>
    </cfRule>
    <cfRule type="cellIs" dxfId="89" priority="293" operator="equal">
      <formula>"Moderado"</formula>
    </cfRule>
    <cfRule type="cellIs" dxfId="88" priority="291" operator="equal">
      <formula>"Catastrófico"</formula>
    </cfRule>
  </conditionalFormatting>
  <conditionalFormatting sqref="AF55">
    <cfRule type="cellIs" dxfId="87" priority="200" operator="equal">
      <formula>"Menor"</formula>
    </cfRule>
    <cfRule type="cellIs" dxfId="86" priority="197" operator="equal">
      <formula>"Catastrófico"</formula>
    </cfRule>
    <cfRule type="cellIs" dxfId="85" priority="198" operator="equal">
      <formula>"Mayor"</formula>
    </cfRule>
    <cfRule type="cellIs" dxfId="84" priority="199" operator="equal">
      <formula>"Moderado"</formula>
    </cfRule>
    <cfRule type="cellIs" dxfId="83" priority="201" operator="equal">
      <formula>"Leve"</formula>
    </cfRule>
  </conditionalFormatting>
  <conditionalFormatting sqref="AF60">
    <cfRule type="cellIs" dxfId="82" priority="39" operator="equal">
      <formula>"Leve"</formula>
    </cfRule>
    <cfRule type="cellIs" dxfId="81" priority="38" operator="equal">
      <formula>"Menor"</formula>
    </cfRule>
    <cfRule type="cellIs" dxfId="80" priority="37" operator="equal">
      <formula>"Moderado"</formula>
    </cfRule>
    <cfRule type="cellIs" dxfId="79" priority="36" operator="equal">
      <formula>"Mayor"</formula>
    </cfRule>
    <cfRule type="cellIs" dxfId="78" priority="35" operator="equal">
      <formula>"Catastrófico"</formula>
    </cfRule>
  </conditionalFormatting>
  <conditionalFormatting sqref="AH15">
    <cfRule type="cellIs" dxfId="77" priority="1031" operator="equal">
      <formula>"Moderado"</formula>
    </cfRule>
    <cfRule type="cellIs" dxfId="76" priority="1029" operator="equal">
      <formula>"Extremo"</formula>
    </cfRule>
    <cfRule type="cellIs" dxfId="75" priority="1032" operator="equal">
      <formula>"Bajo"</formula>
    </cfRule>
    <cfRule type="cellIs" dxfId="74" priority="1030" operator="equal">
      <formula>"Alto"</formula>
    </cfRule>
  </conditionalFormatting>
  <conditionalFormatting sqref="AH23 AH27 AH33 AH39 AH63">
    <cfRule type="cellIs" dxfId="73" priority="639" operator="equal">
      <formula>"Moderado"</formula>
    </cfRule>
    <cfRule type="cellIs" dxfId="72" priority="640" operator="equal">
      <formula>"Bajo"</formula>
    </cfRule>
    <cfRule type="cellIs" dxfId="71" priority="638" operator="equal">
      <formula>"Alto"</formula>
    </cfRule>
    <cfRule type="cellIs" dxfId="70" priority="637" operator="equal">
      <formula>"Extremo"</formula>
    </cfRule>
  </conditionalFormatting>
  <conditionalFormatting sqref="AH36">
    <cfRule type="cellIs" dxfId="69" priority="349" operator="equal">
      <formula>"Extremo"</formula>
    </cfRule>
    <cfRule type="cellIs" dxfId="68" priority="351" operator="equal">
      <formula>"Moderado"</formula>
    </cfRule>
    <cfRule type="cellIs" dxfId="67" priority="352" operator="equal">
      <formula>"Bajo"</formula>
    </cfRule>
    <cfRule type="cellIs" dxfId="66" priority="350" operator="equal">
      <formula>"Alto"</formula>
    </cfRule>
  </conditionalFormatting>
  <conditionalFormatting sqref="AH42">
    <cfRule type="cellIs" dxfId="65" priority="250" operator="equal">
      <formula>"Alto"</formula>
    </cfRule>
    <cfRule type="cellIs" dxfId="64" priority="252" operator="equal">
      <formula>"Bajo"</formula>
    </cfRule>
    <cfRule type="cellIs" dxfId="63" priority="249" operator="equal">
      <formula>"Extremo"</formula>
    </cfRule>
    <cfRule type="cellIs" dxfId="62" priority="251" operator="equal">
      <formula>"Moderado"</formula>
    </cfRule>
  </conditionalFormatting>
  <conditionalFormatting sqref="AH44">
    <cfRule type="cellIs" dxfId="61" priority="223" operator="equal">
      <formula>"Moderado"</formula>
    </cfRule>
    <cfRule type="cellIs" dxfId="60" priority="222" operator="equal">
      <formula>"Alto"</formula>
    </cfRule>
    <cfRule type="cellIs" dxfId="59" priority="224" operator="equal">
      <formula>"Bajo"</formula>
    </cfRule>
    <cfRule type="cellIs" dxfId="58" priority="221" operator="equal">
      <formula>"Extremo"</formula>
    </cfRule>
  </conditionalFormatting>
  <conditionalFormatting sqref="AH47">
    <cfRule type="cellIs" dxfId="57" priority="72" operator="equal">
      <formula>"Bajo"</formula>
    </cfRule>
    <cfRule type="cellIs" dxfId="56" priority="70" operator="equal">
      <formula>"Alto"</formula>
    </cfRule>
    <cfRule type="cellIs" dxfId="55" priority="69" operator="equal">
      <formula>"Extremo"</formula>
    </cfRule>
    <cfRule type="cellIs" dxfId="54" priority="71" operator="equal">
      <formula>"Moderado"</formula>
    </cfRule>
  </conditionalFormatting>
  <conditionalFormatting sqref="AH52">
    <cfRule type="cellIs" dxfId="53" priority="290" operator="equal">
      <formula>"Bajo"</formula>
    </cfRule>
    <cfRule type="cellIs" dxfId="52" priority="289" operator="equal">
      <formula>"Moderado"</formula>
    </cfRule>
    <cfRule type="cellIs" dxfId="51" priority="288" operator="equal">
      <formula>"Alto"</formula>
    </cfRule>
    <cfRule type="cellIs" dxfId="50" priority="287" operator="equal">
      <formula>"Extremo"</formula>
    </cfRule>
  </conditionalFormatting>
  <conditionalFormatting sqref="AH55">
    <cfRule type="cellIs" dxfId="49" priority="196" operator="equal">
      <formula>"Bajo"</formula>
    </cfRule>
    <cfRule type="cellIs" dxfId="48" priority="194" operator="equal">
      <formula>"Alto"</formula>
    </cfRule>
    <cfRule type="cellIs" dxfId="47" priority="193" operator="equal">
      <formula>"Extremo"</formula>
    </cfRule>
    <cfRule type="cellIs" dxfId="46" priority="195" operator="equal">
      <formula>"Moderado"</formula>
    </cfRule>
  </conditionalFormatting>
  <conditionalFormatting sqref="AH60">
    <cfRule type="cellIs" dxfId="45" priority="33" operator="equal">
      <formula>"Moderado"</formula>
    </cfRule>
    <cfRule type="cellIs" dxfId="44" priority="32" operator="equal">
      <formula>"Alto"</formula>
    </cfRule>
    <cfRule type="cellIs" dxfId="43" priority="31" operator="equal">
      <formula>"Extremo"</formula>
    </cfRule>
    <cfRule type="cellIs" dxfId="42" priority="34" operator="equal">
      <formula>"Bajo"</formula>
    </cfRule>
  </conditionalFormatting>
  <pageMargins left="0.7" right="0.7" top="0.75" bottom="0.75" header="0.3" footer="0.3"/>
  <pageSetup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2FF30BA0-7D99-4D7E-9558-9BB60EEFF9A3}">
          <x14:formula1>
            <xm:f>'Opciones Tratamiento'!$B$25:$B$37</xm:f>
          </x14:formula1>
          <xm:sqref>D6:E7</xm:sqref>
        </x14:dataValidation>
        <x14:dataValidation type="list" allowBlank="1" showInputMessage="1" showErrorMessage="1" xr:uid="{2991F06F-23BC-4FE0-935E-AD52E3F5E923}">
          <x14:formula1>
            <xm:f>'Opciones Tratamiento'!$B$13:$B$19</xm:f>
          </x14:formula1>
          <xm:sqref>I15:I22 I33 I36 I63:I67 I39:I43</xm:sqref>
        </x14:dataValidation>
        <x14:dataValidation type="list" allowBlank="1" showInputMessage="1" showErrorMessage="1" xr:uid="{2BA25DAC-1D03-4D52-B147-E5B128DF4614}">
          <x14:formula1>
            <xm:f>'Opciones Tratamiento'!$B$13:$B$20</xm:f>
          </x14:formula1>
          <xm:sqref>I23:I32 I42:I67</xm:sqref>
        </x14:dataValidation>
        <x14:dataValidation type="list" allowBlank="1" showInputMessage="1" showErrorMessage="1" xr:uid="{7700EA99-3C5B-4B29-9E62-39DB10B7FCB6}">
          <x14:formula1>
            <xm:f>'Opciones Tratamiento'!$B$2:$B$5</xm:f>
          </x14:formula1>
          <xm:sqref>AI15:AI33 AI63:AI67 AI39:AI59</xm:sqref>
        </x14:dataValidation>
        <x14:dataValidation type="list" allowBlank="1" showInputMessage="1" showErrorMessage="1" xr:uid="{5651F3A8-C245-4A66-8C6F-3BD18E8DEF99}">
          <x14:formula1>
            <xm:f>'Tabla Valoración controles'!$D$4:$D$7</xm:f>
          </x14:formula1>
          <xm:sqref>U60:W61 R56 R57:S57 U57:W57 R60:S61 R15:R36 R63:R67 R39:R43</xm:sqref>
        </x14:dataValidation>
        <x14:dataValidation type="list" allowBlank="1" showInputMessage="1" showErrorMessage="1" xr:uid="{CC30A5E2-D4B7-4070-A71B-81801ED2E66C}">
          <x14:formula1>
            <xm:f>'Tabla Valoración controles'!$D$8:$D$10</xm:f>
          </x14:formula1>
          <xm:sqref>S56 S15:S35 S63:S67 S39:S43</xm:sqref>
        </x14:dataValidation>
        <x14:dataValidation type="list" allowBlank="1" showInputMessage="1" showErrorMessage="1" xr:uid="{11293CE2-E03C-4910-A0C2-2D4E66C672F9}">
          <x14:formula1>
            <xm:f>'Tabla Valoración controles'!$D$11:$D$13</xm:f>
          </x14:formula1>
          <xm:sqref>U56 U15:U35 U63:U67 U37:U43</xm:sqref>
        </x14:dataValidation>
        <x14:dataValidation type="list" allowBlank="1" showInputMessage="1" showErrorMessage="1" xr:uid="{099A5600-A94B-4864-A483-15B46779B2BC}">
          <x14:formula1>
            <xm:f>'Tabla Valoración controles'!$D$14:$D$16</xm:f>
          </x14:formula1>
          <xm:sqref>V56 V63:V67 V15:V43</xm:sqref>
        </x14:dataValidation>
        <x14:dataValidation type="list" allowBlank="1" showInputMessage="1" showErrorMessage="1" xr:uid="{A74564E0-1CB8-4420-9DE8-E93E7EF87B80}">
          <x14:formula1>
            <xm:f>'Tabla Valoración controles'!$D$17:$D$19</xm:f>
          </x14:formula1>
          <xm:sqref>W56 W63:W67 W15:W43</xm:sqref>
        </x14:dataValidation>
        <x14:dataValidation type="list" allowBlank="1" showInputMessage="1" showErrorMessage="1" xr:uid="{AE1B0128-8C4F-4697-A629-FD2328E31E68}">
          <x14:formula1>
            <xm:f>'Opciones Tratamiento'!$E$9:$E$13</xm:f>
          </x14:formula1>
          <xm:sqref>J15:J33 J36 J39:J67</xm:sqref>
        </x14:dataValidation>
        <x14:dataValidation type="list" allowBlank="1" showInputMessage="1" showErrorMessage="1" xr:uid="{D58D1B3E-A5FF-4CA7-8392-5F6D420BF824}">
          <x14:formula1>
            <xm:f>'Opciones Tratamiento'!$F$9:$F$13</xm:f>
          </x14:formula1>
          <xm:sqref>L15:L33 L36 L39:L67</xm:sqref>
        </x14:dataValidation>
        <x14:dataValidation type="list" allowBlank="1" showInputMessage="1" showErrorMessage="1" xr:uid="{2BC3CD63-39FF-4A8C-89D5-80484B19CCBB}">
          <x14:formula1>
            <xm:f>'Tabla Valoración controles'!$D$4:$D$6</xm:f>
          </x14:formula1>
          <xm:sqref>R42:R59</xm:sqref>
        </x14:dataValidation>
        <x14:dataValidation type="list" allowBlank="1" showInputMessage="1" showErrorMessage="1" xr:uid="{5C18E1FA-CC2C-450C-A28F-D934AA7E9812}">
          <x14:formula1>
            <xm:f>'Tabla Valoración controles'!$D$8:$D$9</xm:f>
          </x14:formula1>
          <xm:sqref>S42:S59</xm:sqref>
        </x14:dataValidation>
        <x14:dataValidation type="list" allowBlank="1" showInputMessage="1" showErrorMessage="1" xr:uid="{70EEF598-1F6B-4B96-BC01-ABB50FA6BA38}">
          <x14:formula1>
            <xm:f>'Tabla Valoración controles'!$D$11:$D$12</xm:f>
          </x14:formula1>
          <xm:sqref>U42:U59</xm:sqref>
        </x14:dataValidation>
        <x14:dataValidation type="list" allowBlank="1" showInputMessage="1" showErrorMessage="1" xr:uid="{E07CF07A-3B11-44FA-BBBD-DAF5016AC99E}">
          <x14:formula1>
            <xm:f>'Tabla Valoración controles'!$D$14:$D$15</xm:f>
          </x14:formula1>
          <xm:sqref>V42:V59</xm:sqref>
        </x14:dataValidation>
        <x14:dataValidation type="list" allowBlank="1" showInputMessage="1" showErrorMessage="1" xr:uid="{761D15D8-ED93-45A9-BEF7-BAE50CC99E0A}">
          <x14:formula1>
            <xm:f>'Tabla Valoración controles'!$D$17:$D$18</xm:f>
          </x14:formula1>
          <xm:sqref>W42:W59</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A3AA98-3ADB-48E2-B81B-F4620808FF6D}">
  <dimension ref="A1:JF33"/>
  <sheetViews>
    <sheetView showGridLines="0" topLeftCell="A18" zoomScaleNormal="70" workbookViewId="0">
      <selection activeCell="D21" sqref="D21"/>
    </sheetView>
  </sheetViews>
  <sheetFormatPr baseColWidth="10" defaultColWidth="0" defaultRowHeight="13.2" x14ac:dyDescent="0.3"/>
  <cols>
    <col min="1" max="1" width="15.6640625" style="152" customWidth="1"/>
    <col min="2" max="2" width="42.5546875" style="156" customWidth="1"/>
    <col min="3" max="3" width="16.44140625" style="152" customWidth="1"/>
    <col min="4" max="4" width="12.44140625" style="156" customWidth="1"/>
    <col min="5" max="5" width="25" style="156" customWidth="1"/>
    <col min="6" max="6" width="3.6640625" style="156" customWidth="1"/>
    <col min="7" max="7" width="7.44140625" style="156" customWidth="1"/>
    <col min="8" max="8" width="14" style="156" customWidth="1"/>
    <col min="9" max="9" width="13.6640625" style="156" customWidth="1"/>
    <col min="10" max="13" width="12.44140625" style="156" customWidth="1"/>
    <col min="14" max="14" width="3.6640625" style="156" customWidth="1"/>
    <col min="15" max="15" width="4.6640625" style="152" hidden="1" customWidth="1"/>
    <col min="16" max="16" width="6.44140625" style="152" hidden="1" customWidth="1"/>
    <col min="17" max="17" width="11" style="152" hidden="1" customWidth="1"/>
    <col min="18" max="22" width="12" style="152" hidden="1" customWidth="1"/>
    <col min="23" max="23" width="11.44140625" style="152" customWidth="1"/>
    <col min="24" max="27" width="11.44140625" style="152" hidden="1" customWidth="1"/>
    <col min="28" max="28" width="5.44140625" style="152" hidden="1" customWidth="1"/>
    <col min="29" max="29" width="26.6640625" style="152" hidden="1" customWidth="1"/>
    <col min="30" max="34" width="22.6640625" style="156" hidden="1" customWidth="1"/>
    <col min="35" max="35" width="23.44140625" style="152" hidden="1" customWidth="1"/>
    <col min="36" max="263" width="11.44140625" style="152" hidden="1" customWidth="1"/>
    <col min="264" max="264" width="12.44140625" style="152" hidden="1" customWidth="1"/>
    <col min="265" max="265" width="47" style="152" hidden="1" customWidth="1"/>
    <col min="266" max="266" width="35" style="152" hidden="1" customWidth="1"/>
    <col min="267" max="16384" width="14.44140625" style="152" hidden="1"/>
  </cols>
  <sheetData>
    <row r="1" spans="1:36" s="132" customFormat="1" ht="54" customHeight="1" x14ac:dyDescent="0.25">
      <c r="A1" s="460" t="s">
        <v>467</v>
      </c>
      <c r="B1" s="460"/>
      <c r="C1" s="460"/>
      <c r="D1" s="460"/>
      <c r="E1" s="126"/>
      <c r="F1" s="126"/>
      <c r="G1" s="126"/>
      <c r="H1" s="127"/>
      <c r="I1" s="128"/>
      <c r="J1" s="129"/>
      <c r="K1" s="130"/>
      <c r="L1" s="130"/>
      <c r="M1" s="131"/>
      <c r="N1" s="126"/>
      <c r="AD1" s="133"/>
      <c r="AE1" s="133"/>
      <c r="AF1" s="133"/>
      <c r="AG1" s="133"/>
      <c r="AH1" s="133"/>
    </row>
    <row r="2" spans="1:36" s="132" customFormat="1" ht="15.6" customHeight="1" x14ac:dyDescent="0.25">
      <c r="A2" s="134"/>
      <c r="B2" s="126"/>
      <c r="C2" s="135"/>
      <c r="D2" s="131"/>
      <c r="E2" s="126"/>
      <c r="F2" s="126"/>
      <c r="G2" s="126"/>
      <c r="I2" s="136"/>
      <c r="J2" s="137"/>
      <c r="K2" s="138"/>
      <c r="L2" s="139"/>
      <c r="M2" s="131"/>
      <c r="N2" s="126"/>
      <c r="AD2" s="133"/>
      <c r="AE2" s="133"/>
      <c r="AF2" s="133"/>
      <c r="AG2" s="133"/>
      <c r="AH2" s="133"/>
    </row>
    <row r="3" spans="1:36" s="132" customFormat="1" ht="20.399999999999999" customHeight="1" thickBot="1" x14ac:dyDescent="0.3">
      <c r="A3" s="140" t="s">
        <v>1</v>
      </c>
      <c r="B3" s="240" t="str">
        <f>'2. MATRIZ DE RIESGOS'!D6</f>
        <v>Gestión Social</v>
      </c>
      <c r="C3" s="240"/>
      <c r="D3" s="240"/>
      <c r="AD3" s="133"/>
      <c r="AE3" s="133"/>
      <c r="AF3" s="133"/>
      <c r="AG3" s="133"/>
      <c r="AH3" s="133"/>
    </row>
    <row r="4" spans="1:36" s="132" customFormat="1" ht="14.4" thickBot="1" x14ac:dyDescent="0.3">
      <c r="A4" s="141"/>
      <c r="B4" s="142"/>
      <c r="C4" s="142"/>
      <c r="D4" s="131"/>
      <c r="G4" s="461" t="s">
        <v>468</v>
      </c>
      <c r="H4" s="462"/>
      <c r="I4" s="462"/>
      <c r="J4" s="462"/>
      <c r="K4" s="462"/>
      <c r="L4" s="462"/>
      <c r="M4" s="463"/>
      <c r="O4" s="143"/>
      <c r="P4" s="143"/>
      <c r="Q4" s="144"/>
      <c r="R4" s="453" t="s">
        <v>469</v>
      </c>
      <c r="S4" s="453"/>
      <c r="T4" s="453"/>
      <c r="U4" s="453"/>
      <c r="V4" s="454"/>
      <c r="AD4" s="133"/>
      <c r="AE4" s="133"/>
      <c r="AF4" s="133"/>
      <c r="AG4" s="133"/>
      <c r="AH4" s="133"/>
    </row>
    <row r="5" spans="1:36" x14ac:dyDescent="0.3">
      <c r="A5" s="145"/>
      <c r="B5" s="146"/>
      <c r="C5" s="455" t="s">
        <v>470</v>
      </c>
      <c r="D5" s="455"/>
      <c r="E5" s="455"/>
      <c r="F5" s="148"/>
      <c r="G5" s="149"/>
      <c r="H5" s="150"/>
      <c r="I5" s="453" t="s">
        <v>469</v>
      </c>
      <c r="J5" s="453"/>
      <c r="K5" s="453"/>
      <c r="L5" s="453"/>
      <c r="M5" s="454"/>
      <c r="N5" s="148"/>
      <c r="O5" s="151"/>
      <c r="P5" s="151"/>
      <c r="R5" s="153">
        <v>0.2</v>
      </c>
      <c r="S5" s="153">
        <v>0.4</v>
      </c>
      <c r="T5" s="153">
        <v>0.6</v>
      </c>
      <c r="U5" s="153">
        <v>0.8</v>
      </c>
      <c r="V5" s="154">
        <v>1</v>
      </c>
      <c r="W5" s="155"/>
      <c r="X5" s="155"/>
      <c r="Y5" s="155"/>
      <c r="Z5" s="155"/>
      <c r="AA5" s="155"/>
      <c r="AB5" s="155"/>
      <c r="AC5" s="155"/>
    </row>
    <row r="6" spans="1:36" ht="26.4" x14ac:dyDescent="0.25">
      <c r="A6" s="157" t="s">
        <v>471</v>
      </c>
      <c r="B6" s="158" t="s">
        <v>472</v>
      </c>
      <c r="C6" s="147" t="s">
        <v>473</v>
      </c>
      <c r="D6" s="147" t="s">
        <v>474</v>
      </c>
      <c r="E6" s="159" t="s">
        <v>475</v>
      </c>
      <c r="F6" s="148"/>
      <c r="G6" s="151"/>
      <c r="H6" s="160"/>
      <c r="I6" s="161" t="s">
        <v>476</v>
      </c>
      <c r="J6" s="161" t="s">
        <v>477</v>
      </c>
      <c r="K6" s="161" t="s">
        <v>15</v>
      </c>
      <c r="L6" s="161" t="s">
        <v>274</v>
      </c>
      <c r="M6" s="162" t="s">
        <v>417</v>
      </c>
      <c r="N6" s="148"/>
      <c r="O6" s="151"/>
      <c r="P6" s="151"/>
      <c r="Q6" s="163"/>
      <c r="R6" s="164" t="s">
        <v>476</v>
      </c>
      <c r="S6" s="164" t="s">
        <v>477</v>
      </c>
      <c r="T6" s="164" t="s">
        <v>15</v>
      </c>
      <c r="U6" s="164" t="s">
        <v>274</v>
      </c>
      <c r="V6" s="165" t="s">
        <v>417</v>
      </c>
      <c r="Y6" s="155"/>
      <c r="Z6" s="155"/>
      <c r="AA6" s="166"/>
      <c r="AB6" s="166"/>
      <c r="AC6" s="166"/>
      <c r="AD6" s="166"/>
      <c r="AE6" s="166"/>
      <c r="AF6" s="166"/>
      <c r="AG6" s="166"/>
      <c r="AH6" s="166"/>
      <c r="AI6" s="166"/>
      <c r="AJ6" s="166"/>
    </row>
    <row r="7" spans="1:36" ht="125.25" customHeight="1" x14ac:dyDescent="0.25">
      <c r="A7" s="167" t="str">
        <f>'2. MATRIZ DE RIESGOS'!A15</f>
        <v>GS6</v>
      </c>
      <c r="B7" s="168" t="str">
        <f>'2. MATRIZ DE RIESGOS'!G15</f>
        <v>Posibilidad de afectación reputacional del Insituto reflejada en la  insatisfacción de la comunidad respecto a la falta de acompañamiento para favorecer la adaptación al nuevo hábitat y lograr una mejor convivencia en los proyectos habitacionales que desarrolla el Instituto de acuerdo a la ley de propiedad horizontal. Lo anterior, debido a que no se cumple con las actividades de acompañamiento social a copropiedades programadas para la vigencia, y a que las actividades de acompañamiento no se relizan de acuerdo con los protocolos y guías metodológicas.</v>
      </c>
      <c r="C7" s="169" t="str">
        <f>'2. MATRIZ DE RIESGOS'!J15</f>
        <v>Alta</v>
      </c>
      <c r="D7" s="169" t="str">
        <f>'2. MATRIZ DE RIESGOS'!L15</f>
        <v>Moderado</v>
      </c>
      <c r="E7" s="168" t="str">
        <f>+IF(C7=$Q$7,IF(D7=$R$6,$R$7,IF(D7=$S$6,$S$7,IF(D7=$T$6,$T$7,IF(D7=$U$6,$U$7,IF(D7=$V$6,$V$7))))),IF(C7=$Q$8,IF(D7=$R$6,$R$8,IF(D7=$S$6,$S$8,IF(D7=$T$6,$T$8,IF(D7=$U$6,$U$8,IF(D7=$V$6,$V$8))))),IF(C7=$Q$9,IF(D7=$R$6,$R$9,IF(D7=$S$6,$S$9,IF(D7=$T$6,$T$9,IF(D7=$U$6,$U$9,IF(D7=$V$6,$V$9))))),IF(C7=$Q$10,IF(D7=$R$6,$R$10,IF(D7=$S$6,$S$10,IF(D7=$T$6,$T$10,IF(D7=$U$6,$U$10,IF(D7=$V$6,$V$10))))),IF(C7=$Q$11,IF(D7=$R$6,$R$11,IF(D7=$S$6,$S$11,IF(D7=$T$6,$T$11,IF(D7=$U$6,$U$11,IF(D7=$V$6,$V$11))))),"")))))</f>
        <v>Alto</v>
      </c>
      <c r="F7" s="170"/>
      <c r="G7" s="456" t="s">
        <v>478</v>
      </c>
      <c r="H7" s="161" t="s">
        <v>479</v>
      </c>
      <c r="I7" s="171" t="str">
        <f>+IF(AND(C7=$Q$7,D7=$R$6),A7,"")&amp;" "&amp;IF(AND(C8=$Q$7,D8=$R$6),A8,"")&amp;" "&amp;IF(AND(C9=$Q$7,D9=$R$6),A9,"")&amp;" "&amp;IF(AND(C10=$Q$7,D10=$R$6),A10,"")&amp;" "&amp;IF(AND(C11=$Q$7,D11=$R$6),A11,"")&amp;" "&amp;IF(AND(C12=$Q$7,D12=$R$6),A12,"")&amp;" "&amp;IF(AND(C13=$Q$7,D13=$R$6),A13,"")&amp;" "&amp;IF(AND(C14=$Q$7,D14=$R$6),A14,"")&amp;" "&amp;IF(AND(C15=$Q$7,D15=$R$6),A15,"")&amp;" "&amp;IF(AND(C16=$Q$7,D16=$R$6),A16,"")&amp;" "&amp;IF(AND(C17=$Q$7,D17=$R$6),A17,"")&amp;" "&amp;IF(AND(C18=$Q$7,D18=$R$6),A18,"")&amp;" "&amp;IF(AND(C19=$Q$7,D19=$R$6),A19,"")&amp;" "&amp;IF(AND(C20=$Q$7,D20=$R$6),A20,"")&amp;" "&amp;IF(AND(C21=$Q$7,D21=$R$6),A21,"")&amp;" "&amp;IF(AND(C22=$Q$7,D22=$R$6),A22,"")&amp;" "&amp;IF(AND(C23=$Q$7,D23=$R$6),A23,"")&amp;" "&amp;IF(AND(C24=$Q$7,D24=$R$6),A24,"")&amp;" "&amp;IF(AND(C25=$Q$7,D25=$R$6),A25,"")&amp;" "&amp;IF(AND(C26=$Q$7,D26=$R$6),A26,"")</f>
        <v xml:space="preserve">                   </v>
      </c>
      <c r="J7" s="171" t="str">
        <f>+IF(AND(C7=$Q$7,D7=$S$6),A7,"")&amp;" "&amp;IF(AND(C8=$Q$7,D8=$S$6),A8,"")&amp;" "&amp;IF(AND(C9=$Q$7,D9=$S$6),A9,"")&amp;" "&amp;IF(AND(C10=$Q$7,D10=$S$6),A10,"")&amp;" "&amp;IF(AND(C11=$Q$7,D11=$S$6),A11,"")&amp;" "&amp;IF(AND(C12=$Q$7,D12=$S$6),A12,"")&amp;" "&amp;IF(AND(C13=$Q$7,D13=$S$6),A13,"")&amp;" "&amp;IF(AND(C14=$Q$7,D14=$S$6),A14,"")&amp;" "&amp;IF(AND(C15=$Q$7,D15=$S$6),A15,"")&amp;" "&amp;IF(AND(C16=$Q$7,D16=$S$6),A16,"")&amp;" "&amp;IF(AND(C17=$Q$7,D17=$S$6),A17,"")&amp;" "&amp;IF(AND(C18=$Q$7,D18=$S$6),A18,"")&amp;" "&amp;IF(AND(C19=$Q$7,D19=$S$6),A19,"")&amp;" "&amp;IF(AND(C20=$Q$7,D20=$S$6),A20,"")&amp;" "&amp;IF(AND(C21=$Q$7,D21=$S$6),A21,"")&amp;" "&amp;IF(AND(C22=$Q$7,D22=$S$6),A22,"")&amp;" "&amp;IF(AND(C23=$Q$7,D23=$S$6),A23,"")&amp;" "&amp;IF(AND(C24=$Q$7,D24=$S$6),A24,"")&amp;" "&amp;IF(AND(C25=$Q$7,D25=$S$6),A25,"")&amp;" "&amp;IF(AND(C26=$Q$7,D26=$S$6),A26,"")</f>
        <v xml:space="preserve">                   </v>
      </c>
      <c r="K7" s="171" t="str">
        <f>+IF(AND(C7=$Q$7,D7=$T$6),A7,"")&amp;" "&amp;IF(AND(C8=$Q$7,D8=$T$6),A8,"")&amp;" "&amp;IF(AND(C9=$Q$7,D9=$T$6),A9,"")&amp;" "&amp;IF(AND(C10=$Q$7,D10=$T$6),A10,"")&amp;" "&amp;IF(AND(C11=$Q$7,D11=$T$6),A11,"")&amp;" "&amp;IF(AND(C12=$Q$7,D12=$T$6),A12,"")&amp;" "&amp;IF(AND(C13=$Q$7,D13=$T$6),A13,"")&amp;" "&amp;IF(AND(C14=$Q$7,D14=$T$6),A14,"")&amp;" "&amp;IF(AND(C15=$Q$7,D15=$T$6),A15,"")&amp;" "&amp;IF(AND(C16=$Q$7,D16=$T$6),A16,"")&amp;" "&amp;IF(AND(C17=$Q$7,D17=$T$6),A17,"")&amp;" "&amp;IF(AND(C18=$Q$7,D18=$T$6),A18,"")&amp;" "&amp;IF(AND(C19=$Q$7,D19=$T$6),A19,"")&amp;" "&amp;IF(AND(C20=$Q$7,D20=$T$6),A20,"")&amp;" "&amp;IF(AND(C21=$Q$7,D21=$T$6),A21,"")&amp;" "&amp;IF(AND(C22=$Q$7,D22=$T$6),A22,"")&amp;" "&amp;IF(AND(C23=$Q$7,D23=$T$6),A23,"")&amp;" "&amp;IF(AND(C24=$Q$7,D24=$T$6),A24,"")&amp;" "&amp;IF(AND(C25=$Q$7,D25=$T$6),A25,"")&amp;" "&amp;IF(AND(C26=$Q$7,D26=$T$6),A26,"")</f>
        <v xml:space="preserve">                   </v>
      </c>
      <c r="L7" s="171" t="str">
        <f>+IF(AND(C7=$Q$7,D7=$U$6),A7,"")&amp;" "&amp;IF(AND(C8=$Q$7,D8=$U$6),A8,"")&amp;" "&amp;IF(AND(C9=$Q$7,D9=$U$6),A9,"")&amp;" "&amp;IF(AND(C10=$Q$7,D10=$U$6),A10,"")&amp;" "&amp;IF(AND(C11=$Q$7,D11=$U$6),A11,"")&amp;" "&amp;IF(AND(C12=$Q$7,D12=$U$6),A12,"")&amp;" "&amp;IF(AND(C13=$Q$7,D13=$U$6),A13,"")&amp;" "&amp;IF(AND(C14=$Q$7,D14=$U$6),A14,"")&amp;" "&amp;IF(AND(C15=$Q$7,D15=$U$6),A15,"")&amp;" "&amp;IF(AND(C16=$Q$7,D16=$U$6),A16,"")&amp;" "&amp;IF(AND(C17=$Q$7,D17=$U$6),A17,"")&amp;" "&amp;IF(AND(C18=$Q$7,D18=$U$6),A18,"")&amp;" "&amp;IF(AND(C19=$Q$7,D19=$U$6),A19,"")&amp;" "&amp;IF(AND(C20=$Q$7,D20=$U$6),A20,"")&amp;" "&amp;IF(AND(C21=$Q$7,D21=$U$6),A21,"")&amp;" "&amp;IF(AND(C22=$Q$7,D22=$U$6),A22,"")&amp;" "&amp;IF(AND(C23=$Q$7,D23=$U$6),A23,"")&amp;" "&amp;IF(AND(C24=$Q$7,D24=$U$6),A24,"")&amp;" "&amp;IF(AND(C25=$Q$7,D25=$U$6),A25,"")&amp;" "&amp;IF(AND(C26=$Q$7,D26=$U$6),A26,"")</f>
        <v xml:space="preserve">                   </v>
      </c>
      <c r="M7" s="172" t="str">
        <f>+IF(AND(C7=$Q$7,D7=$V$6),A7,"")&amp;" "&amp;IF(AND(C8=$Q$7,D8=$V$6),A8,"")&amp;" "&amp;IF(AND(C9=$Q$7,D9=$V$6),A9,"")&amp;" "&amp;IF(AND(C10=$Q$7,D10=$V$6),A10,"")&amp;" "&amp;IF(AND(C11=$Q$7,D11=$V$6),A11,"")&amp;" "&amp;IF(AND(C12=$Q$7,D12=$V$6),A12,"")&amp;" "&amp;IF(AND(C13=$Q$7,D13=$V$6),A13,"")&amp;" "&amp;IF(AND(C14=$Q$7,D14=$V$6),A14,"")&amp;" "&amp;IF(AND(C15=$Q$7,D15=$V$6),A15,"")&amp;" "&amp;IF(AND(C16=$Q$7,D16=$V$6),A16,"")&amp;" "&amp;IF(AND(C17=$Q$7,D17=$V$6),A17,"")&amp;" "&amp;IF(AND(C18=$Q$7,D18=$V$6),A18,"")&amp;" "&amp;IF(AND(C19=$Q$7,D19=$V$6),A19,"")&amp;" "&amp;IF(AND(C20=$Q$7,D20=$V$6),A20,"")&amp;" "&amp;IF(AND(C21=$Q$7,D21=$V$6),A21,"")&amp;" "&amp;IF(AND(C22=$Q$7,D22=$V$6),A22,"")&amp;" "&amp;IF(AND(C23=$Q$7,D23=$V$6),A23,"")&amp;" "&amp;IF(AND(C24=$Q$7,D24=$V$6),A24,"")&amp;" "&amp;IF(AND(C25=$Q$7,D25=$V$6),A25,"")&amp;" "&amp;IF(AND(C26=$Q$7,D26=$V$6),A26,"")</f>
        <v xml:space="preserve">                   </v>
      </c>
      <c r="N7" s="170"/>
      <c r="O7" s="458" t="s">
        <v>478</v>
      </c>
      <c r="P7" s="173">
        <v>1</v>
      </c>
      <c r="Q7" s="164" t="s">
        <v>479</v>
      </c>
      <c r="R7" s="171" t="s">
        <v>13</v>
      </c>
      <c r="S7" s="171" t="s">
        <v>13</v>
      </c>
      <c r="T7" s="171" t="s">
        <v>13</v>
      </c>
      <c r="U7" s="171" t="s">
        <v>13</v>
      </c>
      <c r="V7" s="172" t="s">
        <v>11</v>
      </c>
      <c r="Y7" s="155"/>
      <c r="Z7" s="155"/>
      <c r="AA7" s="166"/>
      <c r="AB7" s="166"/>
      <c r="AC7" s="166"/>
      <c r="AD7" s="174"/>
      <c r="AE7" s="174"/>
      <c r="AF7" s="174"/>
      <c r="AG7" s="174"/>
      <c r="AH7" s="174"/>
      <c r="AI7" s="166"/>
      <c r="AJ7" s="166"/>
    </row>
    <row r="8" spans="1:36" ht="138.6" customHeight="1" x14ac:dyDescent="0.25">
      <c r="A8" s="167" t="str">
        <f>'2. MATRIZ DE RIESGOS'!A23</f>
        <v>GS8</v>
      </c>
      <c r="B8" s="168" t="str">
        <f>'2. MATRIZ DE RIESGOS'!G23</f>
        <v>Posibilidad de afectación económica y reputacional del Instituto reflejada en la indebida asignación del Subsidio Distrital de Arrendamiento Temporal (detrimento  patrimonial), en hallazgos disciplinarios y penales por parte de los entes de control, así como en el costo social (perdida del derecho) asociado a la perdida de la oportunidad para la asignación del Subsidio Distrital de Arrendamiento Temporal - SDAT a hogares que cumplen con los requisitos legales.
Lo anterior, debido a la asignación / destinación del Subsidio Distrital de Arrendamiento Temporal - SDAT sin el cumplimiento de los requisitos legales.</v>
      </c>
      <c r="C8" s="169" t="str">
        <f>'2. MATRIZ DE RIESGOS'!J23</f>
        <v>Alta</v>
      </c>
      <c r="D8" s="169" t="str">
        <f>'2. MATRIZ DE RIESGOS'!L23</f>
        <v>Moderado</v>
      </c>
      <c r="E8" s="168" t="str">
        <f>+IF(C8=$Q$7,IF(D8=$R$6,$R$7,IF(D8=$S$6,$S$7,IF(D8=$T$6,$T$7,IF(D8=$U$6,$U$7,IF(D8=$V$6,$V$7))))),IF(C8=$Q$8,IF(D8=$R$6,$R$8,IF(D8=$S$6,$S$8,IF(D8=$T$6,$T$8,IF(D8=$U$6,$U$8,IF(D8=$V$6,$V$8))))),IF(C8=$Q$9,IF(D8=$R$6,$R$9,IF(D8=$S$6,$S$9,IF(D8=$T$6,$T$9,IF(D8=$U$6,$U$9,IF(D8=$V$6,$V$9))))),IF(C8=$Q$10,IF(D8=$R$6,$R$10,IF(D8=$S$6,$S$10,IF(D8=$T$6,$T$10,IF(D8=$U$6,$U$10,IF(D8=$V$6,$V$10))))),IF(C8=$Q$11,IF(D8=$R$6,$R$11,IF(D8=$S$6,$S$11,IF(D8=$T$6,$T$11,IF(D8=$U$6,$U$11,IF(D8=$V$6,$V$11))))),"")))))</f>
        <v>Alto</v>
      </c>
      <c r="F8" s="170"/>
      <c r="G8" s="456"/>
      <c r="H8" s="161" t="s">
        <v>157</v>
      </c>
      <c r="I8" s="175" t="str">
        <f>+IF(AND(C7=$Q$8,D7=$R$6),A7,"")&amp;" "&amp;IF(AND(C8=$Q$8,D8=$R$6),A8,"")&amp;" "&amp;IF(AND(C9=$Q$8,D9=$R$6),A9,"")&amp;" "&amp;IF(AND(C10=$Q$8,D10=$R$6),A10,"")&amp;" "&amp;IF(AND(C11=$Q$8,D11=$R$6),A11,"")&amp;" "&amp;IF(AND(C12=$Q$8,D12=$R$6),A12,"")&amp;" "&amp;IF(AND(C13=$Q$8,D13=$R$6),A13,"")&amp;" "&amp;IF(AND(C14=$Q$8,D14=$R$6),A14,"")&amp;" "&amp;IF(AND(C15=$Q$8,D15=$R$6),A15,"")&amp;" "&amp;IF(AND(C16=$Q$8,D16=$R$6),A16,"")&amp;" "&amp;IF(AND(C17=$Q$8,D17=$R$6),A17,"")&amp;" "&amp;IF(AND(C18=$Q$8,D18=$R$6),A18,"")&amp;" "&amp;IF(AND(C19=$Q$8,D19=$R$6),A19,"")&amp;" "&amp;IF(AND(C20=$Q$8,D20=$R$6),A20,"")&amp;" "&amp;IF(AND(C21=$Q$8,D21=$R$6),A21,"")&amp;" "&amp;IF(AND(C22=$Q$8,D22=$R$6),A22,"")&amp;" "&amp;IF(AND(C23=$Q$8,D23=$R$6),A23,"")&amp;" "&amp;IF(AND(C24=$Q$8,D24=$R$6),A24,"")&amp;" "&amp;IF(AND(C25=$Q$8,D25=$R$6),A25,"")&amp;" "&amp;IF(AND(C26=$Q$8,D26=$R$6),A26,"")</f>
        <v xml:space="preserve">                   </v>
      </c>
      <c r="J8" s="175" t="str">
        <f>+IF(AND(C7=$Q$8,D7=$S$6),A7,"")&amp;" "&amp;IF(AND(C8=$Q$8,D8=$S$6),A8,"")&amp;" "&amp;IF(AND(C9=$Q$8,D9=$S$6),A9,"")&amp;" "&amp;IF(AND(C10=$Q$8,D10=$S$6),A10,"")&amp;" "&amp;IF(AND(C11=$Q$8,D11=$S$6),A11,"")&amp;" "&amp;IF(AND(C12=$Q$8,D12=$S$6),A12,"")&amp;" "&amp;IF(AND(C13=$Q$8,D13=$S$6),A13,"")&amp;" "&amp;IF(AND(C14=$Q$8,D14=$S$6),A14,"")&amp;" "&amp;IF(AND(C15=$Q$8,D15=$S$6),A15,"")&amp;" "&amp;IF(AND(C16=$Q$8,D16=$S$6),A16,"")&amp;" "&amp;IF(AND(C17=$Q$8,D17=$S$6),A17,"")&amp;" "&amp;IF(AND(C18=$Q$8,D18=$S$6),A18,"")&amp;" "&amp;IF(AND(C19=$Q$8,D19=$S$6),A19,"")&amp;" "&amp;IF(AND(C20=$Q$8,D20=$S$6),A20,"")&amp;" "&amp;IF(AND(C21=$Q$8,D21=$S$6),A21,"")&amp;" "&amp;IF(AND(C22=$Q$8,D22=$S$6),A22,"")&amp;" "&amp;IF(AND(C23=$Q$8,D23=$S$6),A23,"")&amp;" "&amp;IF(AND(C24=$Q$8,D24=$S$6),A24,"")&amp;" "&amp;IF(AND(C25=$Q$8,D25=$S$6),A25,"")&amp;" "&amp;IF(AND(C26=$Q$8,D26=$S$6),A26,"")</f>
        <v xml:space="preserve">                   </v>
      </c>
      <c r="K8" s="171" t="str">
        <f>+IF(AND(C7=$Q$8,D7=$T$6),A7,"")&amp;" "&amp;IF(AND(C8=$Q$8,D8=$T$6),A8,"")&amp;" "&amp;IF(AND(C9=$Q$8,D9=$T$6),A9,"")&amp;" "&amp;IF(AND(C10=$Q$8,D10=$T$6),A10,"")&amp;" "&amp;IF(AND(C11=$Q$8,D11=$T$6),A11,"")&amp;" "&amp;IF(AND(C12=$Q$8,D12=$T$6),A12,"")&amp;" "&amp;IF(AND(C13=$Q$8,D13=$T$6),A13,"")&amp;" "&amp;IF(AND(C14=$Q$8,D14=$T$6),A14,"")&amp;" "&amp;IF(AND(C15=$Q$8,D15=$T$6),A15,"")&amp;" "&amp;IF(AND(C16=$Q$8,D16=$T$6),A16,"")&amp;" "&amp;IF(AND(C17=$Q$8,D17=$T$6),A17,"")&amp;" "&amp;IF(AND(C18=$Q$8,D18=$T$6),A18,"")&amp;" "&amp;IF(AND(C19=$Q$8,D19=$T$6),A19,"")&amp;" "&amp;IF(AND(C20=$Q$8,D20=$T$6),A20,"")&amp;" "&amp;IF(AND(C21=$Q$8,D21=$T$6),A21,"")&amp;" "&amp;IF(AND(C22=$Q$8,D22=$T$6),A22,"")&amp;" "&amp;IF(AND(C23=$Q$8,D23=$T$6),A23,"")&amp;" "&amp;IF(AND(C24=$Q$8,D24=$T$6),A24,"")&amp;" "&amp;IF(AND(C25=$Q$8,D25=$T$6),A25,"")&amp;" "&amp;IF(AND(C26=$Q$8,D26=$T$6),A26,"")</f>
        <v xml:space="preserve">GS6 GS8 GS9                 </v>
      </c>
      <c r="L8" s="171" t="str">
        <f>+IF(AND(C7=$Q$8,D7=$U$6),A7,"")&amp;" "&amp;IF(AND(C8=$Q$8,D8=$U$6),A8,"")&amp;" "&amp;IF(AND(C9=$Q$8,D9=$U$6),A9,"")&amp;" "&amp;IF(AND(C10=$Q$8,D10=$U$6),A10,"")&amp;" "&amp;IF(AND(C11=$Q$8,D11=$U$6),A11,"")&amp;" "&amp;IF(AND(C12=$Q$8,D12=$U$6),A12,"")&amp;" "&amp;IF(AND(C13=$Q$8,D13=$U$6),A13,"")&amp;" "&amp;IF(AND(C14=$Q$8,D14=$U$6),A14,"")&amp;" "&amp;IF(AND(C15=$Q$8,D15=$U$6),A15,"")&amp;" "&amp;IF(AND(C16=$Q$8,D16=$U$6),A16,"")&amp;" "&amp;IF(AND(C17=$Q$8,D17=$U$6),A17,"")&amp;" "&amp;IF(AND(C18=$Q$8,D18=$U$6),A18,"")&amp;" "&amp;IF(AND(C19=$Q$8,D19=$U$6),A19,"")&amp;" "&amp;IF(AND(C20=$Q$8,D20=$U$6),A20,"")&amp;" "&amp;IF(AND(C21=$Q$8,D21=$U$6),A21,"")&amp;" "&amp;IF(AND(C22=$Q$8,D22=$U$6),A22,"")&amp;" "&amp;IF(AND(C23=$Q$8,D23=$U$6),A23,"")&amp;" "&amp;IF(AND(C24=$Q$8,D24=$U$6),A24,"")&amp;" "&amp;IF(AND(C25=$Q$8,D25=$U$6),A25,"")&amp;" "&amp;IF(AND(C26=$Q$8,D26=$U$6),A26,"")</f>
        <v xml:space="preserve">    GS14    GS19           </v>
      </c>
      <c r="M8" s="172" t="str">
        <f>+IF(AND(C7=$Q$8,D7=$V$6),A7,"")&amp;" "&amp;IF(AND(C8=$Q$8,D8=$V$6),A8,"")&amp;" "&amp;IF(AND(C9=$Q$8,D9=$V$6),A9,"")&amp;" "&amp;IF(AND(C10=$Q$8,D10=$V$6),A10,"")&amp;" "&amp;IF(AND(C11=$Q$8,D11=$V$6),A11,"")&amp;" "&amp;IF(AND(C12=$Q$8,D12=$V$6),A12,"")&amp;" "&amp;IF(AND(C13=$Q$8,D13=$V$6),A13,"")&amp;" "&amp;IF(AND(C14=$Q$8,D14=$V$6),A14,"")&amp;" "&amp;IF(AND(C15=$Q$8,D15=$V$6),A15,"")&amp;" "&amp;IF(AND(C16=$Q$8,D16=$V$6),A16,"")&amp;" "&amp;IF(AND(C17=$Q$8,D17=$V$6),A17,"")&amp;" "&amp;IF(AND(C18=$Q$8,D18=$V$6),A18,"")&amp;" "&amp;IF(AND(C19=$Q$8,D19=$V$6),A19,"")&amp;" "&amp;IF(AND(C20=$Q$8,D20=$V$6),A20,"")&amp;" "&amp;IF(AND(C21=$Q$8,D21=$V$6),A21,"")&amp;" "&amp;IF(AND(C22=$Q$8,D22=$V$6),A22,"")&amp;" "&amp;IF(AND(C23=$Q$8,D23=$V$6),A23,"")&amp;" "&amp;IF(AND(C24=$Q$8,D24=$V$6),A24,"")&amp;" "&amp;IF(AND(C25=$Q$8,D25=$V$6),A25,"")&amp;" "&amp;IF(AND(C26=$Q$8,D26=$V$6),A26,"")</f>
        <v xml:space="preserve">              GS13     </v>
      </c>
      <c r="N8" s="170"/>
      <c r="O8" s="458"/>
      <c r="P8" s="173">
        <v>0.8</v>
      </c>
      <c r="Q8" s="164" t="s">
        <v>157</v>
      </c>
      <c r="R8" s="175" t="s">
        <v>15</v>
      </c>
      <c r="S8" s="175" t="s">
        <v>15</v>
      </c>
      <c r="T8" s="171" t="s">
        <v>13</v>
      </c>
      <c r="U8" s="171" t="s">
        <v>13</v>
      </c>
      <c r="V8" s="172" t="s">
        <v>11</v>
      </c>
      <c r="Y8" s="155"/>
      <c r="Z8" s="155"/>
      <c r="AA8" s="166"/>
      <c r="AB8" s="176"/>
      <c r="AC8" s="177"/>
      <c r="AD8" s="174"/>
      <c r="AE8" s="174"/>
      <c r="AF8" s="174"/>
      <c r="AG8" s="174"/>
      <c r="AH8" s="174"/>
      <c r="AI8" s="166"/>
      <c r="AJ8" s="166"/>
    </row>
    <row r="9" spans="1:36" ht="135" customHeight="1" x14ac:dyDescent="0.25">
      <c r="A9" s="167" t="str">
        <f>'2. MATRIZ DE RIESGOS'!A27</f>
        <v>GS9</v>
      </c>
      <c r="B9" s="168" t="str">
        <f>'2. MATRIZ DE RIESGOS'!G27</f>
        <v>Posibilidad de afectación económica y reputacional reflejada en el pago indebido del Subsidio Distrital de Arrendamiento Temporal, en la pérdida de oportunidad para disfrutar dicho subsidio a otros hogares que cumplen con los requistos y por hallazgos de los entes de control.
Lo anterior, debido al desembolso del recurso  sin el cumplimiento de requisitos, durante el tiempo en que el beneficiario tiene la asignación del subsidio, asi como por errores en los pagos por parte del operador de arrendamiento temporal (pagos dobles, pagos por valores distintos a los obligados, realización de pagos sin disponibilidad de recursos, etc.).</v>
      </c>
      <c r="C9" s="169" t="str">
        <f>'2. MATRIZ DE RIESGOS'!J27</f>
        <v>Alta</v>
      </c>
      <c r="D9" s="169" t="str">
        <f>'2. MATRIZ DE RIESGOS'!L27</f>
        <v>Moderado</v>
      </c>
      <c r="E9" s="168" t="str">
        <f>+IF(C9=$Q$7,IF(D9=$R$6,$R$7,IF(D9=$S$6,$S$7,IF(D9=$T$6,$T$7,IF(D9=$U$6,$U$7,IF(D9=$V$6,$V$7))))),IF(C9=$Q$8,IF(D9=$R$6,$R$8,IF(D9=$S$6,$S$8,IF(D9=$T$6,$T$8,IF(D9=$U$6,$U$8,IF(D9=$V$6,$V$8))))),IF(C9=$Q$9,IF(D9=$R$6,$R$9,IF(D9=$S$6,$S$9,IF(D9=$T$6,$T$9,IF(D9=$U$6,$U$9,IF(D9=$V$6,$V$9))))),IF(C9=$Q$10,IF(D9=$R$6,$R$10,IF(D9=$S$6,$S$10,IF(D9=$T$6,$T$10,IF(D9=$U$6,$U$10,IF(D9=$V$6,$V$10))))),IF(C9=$Q$11,IF(D9=$R$6,$R$11,IF(D9=$S$6,$S$11,IF(D9=$T$6,$T$11,IF(D9=$U$6,$U$11,IF(D9=$V$6,$V$11))))),"")))))</f>
        <v>Alto</v>
      </c>
      <c r="F9" s="170"/>
      <c r="G9" s="456"/>
      <c r="H9" s="161" t="s">
        <v>255</v>
      </c>
      <c r="I9" s="175" t="str">
        <f>+IF(AND(C7=$Q$9,D7=$R$6),A7,"")&amp;" "&amp;IF(AND(C8=$Q$9,D8=$R$6),A8,"")&amp;" "&amp;IF(AND(C9=$Q$9,D9=$R$6),A9,"")&amp;" "&amp;IF(AND(C10=$Q$9,D10=$R$6),A10,"")&amp;" "&amp;IF(AND(C11=$Q$9,D11=$R$6),A11,"")&amp;" "&amp;IF(AND(C12=$Q$9,D12=$R$6),A12,"")&amp;" "&amp;IF(AND(C13=$Q$9,D13=$R$6),A13,"")&amp;" "&amp;IF(AND(C14=$Q$9,D14=$R$6),A14,"")&amp;" "&amp;IF(AND(C15=$Q$9,D15=$R$6),A15,"")&amp;" "&amp;IF(AND(C16=$Q$9,D16=$R$6),A16,"")&amp;" "&amp;IF(AND(C17=$Q$9,D17=$R$6),A17,"")&amp;" "&amp;IF(AND(C18=$Q$9,D18=$R$6),A18,"")&amp;" "&amp;IF(AND(C19=$Q$9,D19=$R$6),A19,"")&amp;" "&amp;IF(AND(C20=$Q$9,D20=$R$6),A20,"")&amp;" "&amp;IF(AND(C21=$Q$9,D21=$R$6),A21,"")&amp;" "&amp;IF(AND(C22=$Q$9,D22=$R$6),A22,"")&amp;" "&amp;IF(AND(C23=$Q$9,D23=$R$6),A23,"")&amp;" "&amp;IF(AND(C24=$Q$9,D24=$R$6),A24,"")&amp;" "&amp;IF(AND(C25=$Q$9,D25=$R$6),A25,"")&amp;" "&amp;IF(AND(C26=$Q$9,D26=$R$6),A26,"")</f>
        <v xml:space="preserve">                   </v>
      </c>
      <c r="J9" s="175" t="str">
        <f>+IF(AND(C7=$Q$9,D7=$S$6),A7,"")&amp;" "&amp;IF(AND(C8=$Q$9,D8=$S$6),A8,"")&amp;" "&amp;IF(AND(C9=$Q$9,D9=$S$6),A9,"")&amp;" "&amp;IF(AND(C10=$Q$9,D10=$S$6),A10,"")&amp;" "&amp;IF(AND(C11=$Q$9,D11=$S$6),A11,"")&amp;" "&amp;IF(AND(C12=$Q$9,D12=$S$6),A12,"")&amp;" "&amp;IF(AND(C13=$Q$9,D13=$S$6),A13,"")&amp;" "&amp;IF(AND(C14=$Q$9,D14=$S$6),A14,"")&amp;" "&amp;IF(AND(C15=$Q$9,D15=$S$6),A15,"")&amp;" "&amp;IF(AND(C16=$Q$9,D16=$S$6),A16,"")&amp;" "&amp;IF(AND(C17=$Q$9,D17=$S$6),A17,"")&amp;" "&amp;IF(AND(C18=$Q$9,D18=$S$6),A18,"")&amp;" "&amp;IF(AND(C19=$Q$9,D19=$S$6),A19,"")&amp;" "&amp;IF(AND(C20=$Q$9,D20=$S$6),A20,"")&amp;" "&amp;IF(AND(C21=$Q$9,D21=$S$6),A21,"")&amp;" "&amp;IF(AND(C22=$Q$9,D22=$S$6),A22,"")&amp;" "&amp;IF(AND(C23=$Q$9,D23=$S$6),A23,"")&amp;" "&amp;IF(AND(C24=$Q$9,D24=$S$6),A24,"")&amp;" "&amp;IF(AND(C25=$Q$9,D25=$S$6),A25,"")&amp;" "&amp;IF(AND(C26=$Q$9,D26=$S$6),A26,"")</f>
        <v xml:space="preserve">                   </v>
      </c>
      <c r="K9" s="175" t="str">
        <f>+IF(AND(C7=$Q$9,D7=$T$6),A7,"")&amp;" "&amp;IF(AND(C8=$Q$9,D8=$T$6),A8,"")&amp;" "&amp;IF(AND(C9=$Q$9,D9=$T$6),A9,"")&amp;" "&amp;IF(AND(C10=$Q$9,D10=$T$6),A10,"")&amp;" "&amp;IF(AND(C11=$Q$9,D11=$T$6),A11,"")&amp;" "&amp;IF(AND(C12=$Q$9,D12=$T$6),A12,"")&amp;" "&amp;IF(AND(C13=$Q$9,D13=$T$6),A13,"")&amp;" "&amp;IF(AND(C14=$Q$9,D14=$T$6),A14,"")&amp;" "&amp;IF(AND(C15=$Q$9,D15=$T$6),A15,"")&amp;" "&amp;IF(AND(C16=$Q$9,D16=$T$6),A16,"")&amp;" "&amp;IF(AND(C17=$Q$9,D17=$T$6),A17,"")&amp;" "&amp;IF(AND(C18=$Q$9,D18=$T$6),A18,"")&amp;" "&amp;IF(AND(C19=$Q$9,D19=$T$6),A19,"")&amp;" "&amp;IF(AND(C20=$Q$9,D20=$T$6),A20,"")&amp;" "&amp;IF(AND(C21=$Q$9,D21=$T$6),A21,"")&amp;" "&amp;IF(AND(C22=$Q$9,D22=$T$6),A22,"")&amp;" "&amp;IF(AND(C23=$Q$9,D23=$T$6),A23,"")&amp;" "&amp;IF(AND(C24=$Q$9,D24=$T$6),A24,"")&amp;" "&amp;IF(AND(C25=$Q$9,D25=$T$6),A25,"")&amp;" "&amp;IF(AND(C26=$Q$9,D26=$T$6),A26,"")</f>
        <v xml:space="preserve">   GS10   GS16 GS17     GS16 GS20      </v>
      </c>
      <c r="L9" s="171" t="str">
        <f>+IF(AND(C7=$Q$9,D7=$U$6),A7,"")&amp;" "&amp;IF(AND(C8=$Q$9,D8=$U$6),A8,"")&amp;" "&amp;IF(AND(C9=$Q$9,D9=$U$6),A9,"")&amp;" "&amp;IF(AND(C10=$Q$9,D10=$U$6),A10,"")&amp;" "&amp;IF(AND(C11=$Q$9,D11=$U$6),A11,"")&amp;" "&amp;IF(AND(C12=$Q$9,D12=$U$6),A12,"")&amp;" "&amp;IF(AND(C13=$Q$9,D13=$U$6),A13,"")&amp;" "&amp;IF(AND(C14=$Q$9,D14=$U$6),A14,"")&amp;" "&amp;IF(AND(C15=$Q$9,D15=$U$6),A15,"")&amp;" "&amp;IF(AND(C16=$Q$9,D16=$U$6),A16,"")&amp;" "&amp;IF(AND(C17=$Q$9,D17=$U$6),A17,"")&amp;" "&amp;IF(AND(C18=$Q$9,D18=$U$6),A18,"")&amp;" "&amp;IF(AND(C19=$Q$9,D19=$U$6),A19,"")&amp;" "&amp;IF(AND(C20=$Q$9,D20=$U$6),A20,"")&amp;" "&amp;IF(AND(C21=$Q$9,D21=$U$6),A21,"")&amp;" "&amp;IF(AND(C22=$Q$9,D22=$U$6),A22,"")&amp;" "&amp;IF(AND(C23=$Q$9,D23=$U$6),A23,"")&amp;" "&amp;IF(AND(C24=$Q$9,D24=$U$6),A24,"")&amp;" "&amp;IF(AND(C25=$Q$9,D25=$U$6),A25,"")&amp;" "&amp;IF(AND(C26=$Q$9,D26=$U$6),A26,"")</f>
        <v xml:space="preserve">           GS18        </v>
      </c>
      <c r="M9" s="172" t="str">
        <f>+IF(AND(C7=$Q$9,D7=$V$6),A7,"")&amp;" "&amp;IF(AND(C8=$Q$9,D8=$V$6),A8,"")&amp;" "&amp;IF(AND(C9=$Q$9,D9=$V$6),A9,"")&amp;" "&amp;IF(AND(C10=$Q$9,D10=$V$6),A10,"")&amp;" "&amp;IF(AND(C11=$Q$9,D11=$V$6),A11,"")&amp;" "&amp;IF(AND(C12=$Q$9,D12=$V$6),A12,"")&amp;" "&amp;IF(AND(C13=$Q$9,D13=$V$6),A13,"")&amp;" "&amp;IF(AND(C14=$Q$9,D14=$V$6),A14,"")&amp;" "&amp;IF(AND(C15=$Q$9,D15=$V$6),A15,"")&amp;" "&amp;IF(AND(C16=$Q$9,D16=$V$6),A16,"")&amp;" "&amp;IF(AND(C17=$Q$9,D17=$V$6),A17,"")&amp;" "&amp;IF(AND(C18=$Q$9,D18=$V$6),A18,"")&amp;" "&amp;IF(AND(C19=$Q$9,D19=$V$6),A19,"")&amp;" "&amp;IF(AND(C20=$Q$9,D20=$V$6),A20,"")&amp;" "&amp;IF(AND(C21=$Q$9,D21=$V$6),A21,"")&amp;" "&amp;IF(AND(C22=$Q$9,D22=$V$6),A22,"")&amp;" "&amp;IF(AND(C23=$Q$9,D23=$V$6),A23,"")&amp;" "&amp;IF(AND(C24=$Q$9,D24=$V$6),A24,"")&amp;" "&amp;IF(AND(C25=$Q$9,D25=$V$6),A25,"")&amp;" "&amp;IF(AND(C26=$Q$9,D26=$V$6),A26,"")</f>
        <v xml:space="preserve">                   </v>
      </c>
      <c r="N9" s="170"/>
      <c r="O9" s="458"/>
      <c r="P9" s="173">
        <v>0.6</v>
      </c>
      <c r="Q9" s="164" t="s">
        <v>255</v>
      </c>
      <c r="R9" s="175" t="s">
        <v>15</v>
      </c>
      <c r="S9" s="175" t="s">
        <v>15</v>
      </c>
      <c r="T9" s="175" t="s">
        <v>15</v>
      </c>
      <c r="U9" s="171" t="s">
        <v>13</v>
      </c>
      <c r="V9" s="172" t="s">
        <v>11</v>
      </c>
      <c r="Y9" s="155"/>
      <c r="Z9" s="155"/>
      <c r="AA9" s="166"/>
      <c r="AB9" s="176"/>
      <c r="AC9" s="177"/>
      <c r="AD9" s="174"/>
      <c r="AE9" s="174"/>
      <c r="AF9" s="174"/>
      <c r="AG9" s="174"/>
      <c r="AH9" s="178"/>
      <c r="AI9" s="166"/>
      <c r="AJ9" s="166"/>
    </row>
    <row r="10" spans="1:36" ht="139.94999999999999" customHeight="1" x14ac:dyDescent="0.25">
      <c r="A10" s="167" t="str">
        <f>'2. MATRIZ DE RIESGOS'!A33</f>
        <v>GS10</v>
      </c>
      <c r="B10" s="168" t="str">
        <f>'2. MATRIZ DE RIESGOS'!G33</f>
        <v>Posibilidad de afectación reputacional del Instituto reflejada en la existencia de las PQRSD y tutelas por parte de la población afectada derivadas de la falta de atención y acompañamiento para lograr una solución de vivienda definitiva. Lo anterior, debido a deficiencias en el acompañamiento social a los hogares priorizados con solución de vivienda definitiva de la población de riesgo, desastre y/o calamidad para la concurrencia de subsidios y recursos.</v>
      </c>
      <c r="C10" s="169" t="str">
        <f>'2. MATRIZ DE RIESGOS'!J33</f>
        <v>Media</v>
      </c>
      <c r="D10" s="169" t="str">
        <f>'2. MATRIZ DE RIESGOS'!L33</f>
        <v>Moderado</v>
      </c>
      <c r="E10" s="168" t="str">
        <f t="shared" ref="E10:E26" si="0">+IF(C10=$Q$7,IF(D10=$R$6,$R$7,IF(D10=$S$6,$S$7,IF(D10=$T$6,$T$7,IF(D10=$U$6,$U$7,IF(D10=$V$6,$V$7))))),IF(C10=$Q$8,IF(D10=$R$6,$R$8,IF(D10=$S$6,$S$8,IF(D10=$T$6,$T$8,IF(D10=$U$6,$U$8,IF(D10=$V$6,$V$8))))),IF(C10=$Q$9,IF(D10=$R$6,$R$9,IF(D10=$S$6,$S$9,IF(D10=$T$6,$T$9,IF(D10=$U$6,$U$9,IF(D10=$V$6,$V$9))))),IF(C10=$Q$10,IF(D10=$R$6,$R$10,IF(D10=$S$6,$S$10,IF(D10=$T$6,$T$10,IF(D10=$U$6,$U$10,IF(D10=$V$6,$V$10))))),IF(C10=$Q$11,IF(D10=$R$6,$R$11,IF(D10=$S$6,$S$11,IF(D10=$T$6,$T$11,IF(D10=$U$6,$U$11,IF(D10=$V$6,$V$11))))),"")))))</f>
        <v>Moderado</v>
      </c>
      <c r="F10" s="170"/>
      <c r="G10" s="456"/>
      <c r="H10" s="161" t="s">
        <v>366</v>
      </c>
      <c r="I10" s="179" t="str">
        <f>+IF(AND(C7=$Q$10,D7=$R$6),A7,"")&amp;" "&amp;IF(AND(C8=$Q$10,D8=$R$6),A8,"")&amp;" "&amp;IF(AND(C9=$Q$10,D9=$R$6),A9,"")&amp;" "&amp;IF(AND(C10=$Q$10,D10=$R$6),A10,"")&amp;" "&amp;IF(AND(C11=$Q$10,D11=$R$6),A11,"")&amp;" "&amp;IF(AND(C12=$Q$10,D12=$R$6),A12,"")&amp;" "&amp;IF(AND(C13=$Q$10,D13=$R$6),A13,"")&amp;" "&amp;IF(AND(C14=$Q$10,D14=$R$6),A14,"")&amp;" "&amp;IF(AND(C15=$Q$10,D15=$R$6),A15,"")&amp;" "&amp;IF(AND(C16=$Q$10,D16=$R$6),A16,"")&amp;" "&amp;IF(AND(C17=$Q$10,D17=$R$6),A17,"")&amp;" "&amp;IF(AND(C18=$Q$10,D18=$R$6),A18,"")&amp;" "&amp;IF(AND(C19=$Q$10,D19=$R$6),A19,"")&amp;" "&amp;IF(AND(C20=$Q$10,D20=$R$6),A20,"")&amp;" "&amp;IF(AND(C21=$Q$10,D21=$R$6),A21,"")&amp;" "&amp;IF(AND(C22=$Q$10,D22=$R$6),A22,"")&amp;" "&amp;IF(AND(C23=$Q$10,D23=$R$6),A23,"")&amp;" "&amp;IF(AND(C24=$Q$10,D24=$R$6),A24,"")&amp;" "&amp;IF(AND(C25=$Q$10,D25=$R$6),A25,"")&amp;" "&amp;IF(AND(C26=$Q$10,D26=$R$6),A26,"")</f>
        <v xml:space="preserve">                   </v>
      </c>
      <c r="J10" s="175" t="str">
        <f>+IF(AND(C7=$Q$10,D7=$S$6),A7,"")&amp;" "&amp;IF(AND(C8=$Q$10,D8=$S$6),A8,"")&amp;" "&amp;IF(AND(C9=$Q$10,D9=$S$6),A9,"")&amp;" "&amp;IF(AND(C10=$Q$10,D10=$S$6),A10,"")&amp;" "&amp;IF(AND(C11=$Q$10,D11=$S$6),A11,"")&amp;" "&amp;IF(AND(C12=$Q$10,D12=$S$6),A12,"")&amp;" "&amp;IF(AND(C13=$Q$10,D13=$S$6),A13,"")&amp;" "&amp;IF(AND(C14=$Q$10,D14=$S$6),A14,"")&amp;" "&amp;IF(AND(C15=$Q$10,D15=$S$6),A15,"")&amp;" "&amp;IF(AND(C16=$Q$10,D16=$S$6),A16,"")&amp;" "&amp;IF(AND(C17=$Q$10,D17=$S$6),A17,"")&amp;" "&amp;IF(AND(C18=$Q$10,D18=$S$6),A18,"")&amp;" "&amp;IF(AND(C19=$Q$10,D19=$S$6),A19,"")&amp;" "&amp;IF(AND(C20=$Q$10,D20=$S$6),A20,"")&amp;" "&amp;IF(AND(C21=$Q$10,D21=$S$6),A21,"")&amp;" "&amp;IF(AND(C22=$Q$10,D22=$S$6),A22,"")&amp;" "&amp;IF(AND(C23=$Q$10,D23=$S$6),A23,"")&amp;" "&amp;IF(AND(C24=$Q$10,D24=$S$6),A24,"")&amp;" "&amp;IF(AND(C25=$Q$10,D25=$S$6),A25,"")&amp;" "&amp;IF(AND(C26=$Q$10,D26=$S$6),A26,"")</f>
        <v xml:space="preserve">                   </v>
      </c>
      <c r="K10" s="175" t="str">
        <f>+IF(AND(C7=$Q$10,D7=$T$6),A7,"")&amp;" "&amp;IF(AND(C8=$Q$10,D8=$T$6),A8,"")&amp;" "&amp;IF(AND(C9=$Q$10,D9=$T$6),A9,"")&amp;" "&amp;IF(AND(C10=$Q$10,D10=$T$6),A10,"")&amp;" "&amp;IF(AND(C11=$Q$10,D11=$T$6),A11,"")&amp;" "&amp;IF(AND(C12=$Q$10,D12=$T$6),A12,"")&amp;" "&amp;IF(AND(C13=$Q$10,D13=$T$6),A13,"")&amp;" "&amp;IF(AND(C14=$Q$10,D14=$T$6),A14,"")&amp;" "&amp;IF(AND(C15=$Q$10,D15=$T$6),A15,"")&amp;" "&amp;IF(AND(C16=$Q$10,D16=$T$6),A16,"")&amp;" "&amp;IF(AND(C17=$Q$10,D17=$T$6),A17,"")&amp;" "&amp;IF(AND(C18=$Q$10,D18=$T$6),A18,"")&amp;" "&amp;IF(AND(C19=$Q$10,D19=$T$6),A19,"")&amp;" "&amp;IF(AND(C20=$Q$10,D20=$T$6),A20,"")&amp;" "&amp;IF(AND(C21=$Q$10,D21=$T$6),A21,"")&amp;" "&amp;IF(AND(C22=$Q$10,D22=$T$6),A22,"")&amp;" "&amp;IF(AND(C23=$Q$10,D23=$T$6),A23,"")&amp;" "&amp;IF(AND(C24=$Q$10,D24=$T$6),A24,"")&amp;" "&amp;IF(AND(C25=$Q$10,D25=$T$6),A25,"")&amp;" "&amp;IF(AND(C26=$Q$10,D26=$T$6),A26,"")</f>
        <v xml:space="preserve">                   </v>
      </c>
      <c r="L10" s="171" t="str">
        <f>+IF(AND(C7=$Q$10,D7=$U$6),A7,"")&amp;" "&amp;IF(AND(C8=$Q$10,D8=$U$6),A8,"")&amp;" "&amp;IF(AND(C9=$Q$10,D9=$U$6),A9,"")&amp;" "&amp;IF(AND(C10=$Q$10,D10=$U$6),A10,"")&amp;" "&amp;IF(AND(C11=$Q$10,D11=$U$6),A11,"")&amp;" "&amp;IF(AND(C12=$Q$10,D12=$U$6),A12,"")&amp;" "&amp;IF(AND(C13=$Q$10,D13=$U$6),A13,"")&amp;" "&amp;IF(AND(C14=$Q$10,D14=$U$6),A14,"")&amp;" "&amp;IF(AND(C15=$Q$10,D15=$U$6),A15,"")&amp;" "&amp;IF(AND(C16=$Q$10,D16=$U$6),A16,"")&amp;" "&amp;IF(AND(C17=$Q$10,D17=$U$6),A17,"")&amp;" "&amp;IF(AND(C18=$Q$10,D18=$U$6),A18,"")&amp;" "&amp;IF(AND(C19=$Q$10,D19=$U$6),A19,"")&amp;" "&amp;IF(AND(C20=$Q$10,D20=$U$6),A20,"")&amp;" "&amp;IF(AND(C21=$Q$10,D21=$U$6),A21,"")&amp;" "&amp;IF(AND(C22=$Q$10,D22=$U$6),A22,"")&amp;" "&amp;IF(AND(C23=$Q$10,D23=$U$6),A23,"")&amp;" "&amp;IF(AND(C24=$Q$10,D24=$U$6),A24,"")&amp;" "&amp;IF(AND(C25=$Q$10,D25=$U$6),A25,"")&amp;" "&amp;IF(AND(C26=$Q$10,D26=$U$6),A26,"")</f>
        <v xml:space="preserve">          GS15         </v>
      </c>
      <c r="M10" s="172" t="str">
        <f>+IF(AND(C7=$Q$10,D7=$V$6),A7,"")&amp;" "&amp;IF(AND(C8=$Q$10,D8=$V$6),A8,"")&amp;" "&amp;IF(AND(C9=$Q$10,D9=$V$6),A9,"")&amp;" "&amp;IF(AND(C10=$Q$10,D10=$V$6),A10,"")&amp;" "&amp;IF(AND(C11=$Q$10,D11=$V$6),A11,"")&amp;" "&amp;IF(AND(C12=$Q$10,D12=$V$6),A12,"")&amp;" "&amp;IF(AND(C13=$Q$10,D13=$V$6),A13,"")&amp;" "&amp;IF(AND(C14=$Q$10,D14=$V$6),A14,"")&amp;" "&amp;IF(AND(C15=$Q$10,D15=$V$6),A15,"")&amp;" "&amp;IF(AND(C16=$Q$10,D16=$V$6),A16,"")&amp;" "&amp;IF(AND(C17=$Q$10,D17=$V$6),A17,"")&amp;" "&amp;IF(AND(C18=$Q$10,D18=$V$6),A18,"")&amp;" "&amp;IF(AND(C19=$Q$10,D19=$V$6),A19,"")&amp;" "&amp;IF(AND(C20=$Q$10,D20=$V$6),A20,"")&amp;" "&amp;IF(AND(C21=$Q$10,D21=$V$6),A21,"")&amp;" "&amp;IF(AND(C22=$Q$10,D22=$V$6),A22,"")&amp;" "&amp;IF(AND(C23=$Q$10,D23=$V$6),A23,"")&amp;" "&amp;IF(AND(C24=$Q$10,D24=$V$6),A24,"")&amp;" "&amp;IF(AND(C25=$Q$10,D25=$V$6),A25,"")&amp;" "&amp;IF(AND(C26=$Q$10,D26=$V$6),A26,"")</f>
        <v xml:space="preserve">                   </v>
      </c>
      <c r="N10" s="170"/>
      <c r="O10" s="458"/>
      <c r="P10" s="173">
        <v>0.4</v>
      </c>
      <c r="Q10" s="164" t="s">
        <v>366</v>
      </c>
      <c r="R10" s="179" t="s">
        <v>17</v>
      </c>
      <c r="S10" s="175" t="s">
        <v>15</v>
      </c>
      <c r="T10" s="175" t="s">
        <v>15</v>
      </c>
      <c r="U10" s="171" t="s">
        <v>13</v>
      </c>
      <c r="V10" s="172" t="s">
        <v>11</v>
      </c>
      <c r="Y10" s="155"/>
      <c r="Z10" s="155"/>
      <c r="AA10" s="166"/>
      <c r="AB10" s="176"/>
      <c r="AC10" s="177"/>
      <c r="AD10" s="174"/>
      <c r="AE10" s="174"/>
      <c r="AF10" s="174"/>
      <c r="AG10" s="178"/>
      <c r="AH10" s="174"/>
      <c r="AI10" s="166"/>
      <c r="AJ10" s="166"/>
    </row>
    <row r="11" spans="1:36" ht="93" customHeight="1" thickBot="1" x14ac:dyDescent="0.3">
      <c r="A11" s="167" t="str">
        <f>'2. MATRIZ DE RIESGOS'!A36</f>
        <v>GS14</v>
      </c>
      <c r="B11" s="168" t="str">
        <f>'2. MATRIZ DE RIESGOS'!G36</f>
        <v>Posiblidad de afectación reputacional del Instituto por:
* no garantizar una vivienda digna y segura a los hogares con contrato de arrendamiento temporal.
* Eventos catastróficos relacionados con la ubicación del predio en zonas no aptas.
* PQRSD con relación al mal estado de inmuebles viabilizados para la aplicación de subsidios.
Lo anterior, debido a que no se realice una adecuada revisión técnica y jurídica del inmueble donde se aplicará el SDAT de acuerdo a lo establecido en la normatividad aplicable y el manual para la aplicación del SDAT.</v>
      </c>
      <c r="C11" s="169" t="str">
        <f>'2. MATRIZ DE RIESGOS'!J36</f>
        <v>Alta</v>
      </c>
      <c r="D11" s="169" t="str">
        <f>'2. MATRIZ DE RIESGOS'!L36</f>
        <v>Mayor</v>
      </c>
      <c r="E11" s="168" t="str">
        <f t="shared" ref="E11:E21" si="1">+IF(C11=$Q$7,IF(D11=$R$6,$R$7,IF(D11=$S$6,$S$7,IF(D11=$T$6,$T$7,IF(D11=$U$6,$U$7,IF(D11=$V$6,$V$7))))),IF(C11=$Q$8,IF(D11=$R$6,$R$8,IF(D11=$S$6,$S$8,IF(D11=$T$6,$T$8,IF(D11=$U$6,$U$8,IF(D11=$V$6,$V$8))))),IF(C11=$Q$9,IF(D11=$R$6,$R$9,IF(D11=$S$6,$S$9,IF(D11=$T$6,$T$9,IF(D11=$U$6,$U$9,IF(D11=$V$6,$V$9))))),IF(C11=$Q$10,IF(D11=$R$6,$R$10,IF(D11=$S$6,$S$10,IF(D11=$T$6,$T$10,IF(D11=$U$6,$U$10,IF(D11=$V$6,$V$10))))),IF(C11=$Q$11,IF(D11=$R$6,$R$11,IF(D11=$S$6,$S$11,IF(D11=$T$6,$T$11,IF(D11=$U$6,$U$11,IF(D11=$V$6,$V$11))))),"")))))</f>
        <v>Alto</v>
      </c>
      <c r="F11" s="170"/>
      <c r="G11" s="457"/>
      <c r="H11" s="180" t="s">
        <v>294</v>
      </c>
      <c r="I11" s="181" t="str">
        <f>+IF(AND(C7=$Q$11,D7=$R$6),A7,"")&amp;" "&amp;IF(AND(C8=$Q$11,D8=$R$6),A8,"")&amp;" "&amp;IF(AND(C9=$Q$11,D9=$R$6),A9,"")&amp;" "&amp;IF(AND(C10=$Q$11,D10=$R$6),A10,"")&amp;" "&amp;IF(AND(C11=$Q$11,D11=$R$6),A11,"")&amp;" "&amp;IF(AND(C12=$Q$11,D12=$R$6),A12,"")&amp;" "&amp;IF(AND(C13=$Q$11,D13=$R$6),A13,"")&amp;" "&amp;IF(AND(C14=$Q$11,D14=$R$6),A14,"")&amp;" "&amp;IF(AND(C15=$Q$11,D15=$R$6),A15,"")&amp;" "&amp;IF(AND(C16=$Q$11,D16=$R$6),A16,"")&amp;" "&amp;IF(AND(C17=$Q$11,D17=$R$6),A17,"")&amp;" "&amp;IF(AND(C18=$Q$11,D18=$R$6),A18,"")&amp;" "&amp;IF(AND(C19=$Q$11,D19=$R$6),A19,"")&amp;" "&amp;IF(AND(C20=$Q$11,D20=$R$6),A20,"")&amp;" "&amp;IF(AND(C21=$Q$11,D21=$R$6),A21,"")&amp;" "&amp;IF(AND(C22=$Q$11,D22=$R$6),A22,"")&amp;" "&amp;IF(AND(C23=$Q$11,D23=$R$6),A23,"")&amp;" "&amp;IF(AND(C24=$Q$11,D24=$R$6),A24,"")&amp;" "&amp;IF(AND(C25=$Q$11,D25=$R$6),A25,"")&amp;" "&amp;IF(AND(C26=$Q$11,D26=$R$6),A26,"")</f>
        <v xml:space="preserve">                   </v>
      </c>
      <c r="J11" s="181" t="str">
        <f>+IF(AND(C7=$Q$11,D7=$S$6),A7,"")&amp;" "&amp;IF(AND(C8=$Q$11,D8=$S$6),A8,"")&amp;" "&amp;IF(AND(C9=$Q$11,D9=$S$6),A9,"")&amp;" "&amp;IF(AND(C10=$Q$11,D10=$S$6),A10,"")&amp;" "&amp;IF(AND(C11=$Q$11,D11=$S$6),A11,"")&amp;" "&amp;IF(AND(C12=$Q$11,D12=$S$6),A12,"")&amp;" "&amp;IF(AND(C13=$Q$11,D13=$S$6),A13,"")&amp;" "&amp;IF(AND(C14=$Q$11,D14=$S$6),A14,"")&amp;" "&amp;IF(AND(C15=$Q$11,D15=$S$6),A15,"")&amp;" "&amp;IF(AND(C16=$Q$11,D16=$S$6),A16,"")&amp;" "&amp;IF(AND(C17=$Q$11,D17=$S$6),A17,"")&amp;" "&amp;IF(AND(C18=$Q$11,D18=$S$6),A18,"")&amp;" "&amp;IF(AND(C19=$Q$11,D19=$S$6),A19,"")&amp;" "&amp;IF(AND(C20=$Q$11,D20=$S$6),A20,"")&amp;" "&amp;IF(AND(C21=$Q$11,D21=$S$6),A21,"")&amp;" "&amp;IF(AND(C22=$Q$11,D22=$S$6),A22,"")&amp;" "&amp;IF(AND(C23=$Q$11,D23=$S$6),A23,"")&amp;" "&amp;IF(AND(C24=$Q$11,D24=$S$6),A24,"")&amp;" "&amp;IF(AND(C25=$Q$11,D25=$S$6),A25,"")&amp;" "&amp;IF(AND(C26=$Q$11,D26=$S$6),A26,"")</f>
        <v xml:space="preserve">                   </v>
      </c>
      <c r="K11" s="182" t="str">
        <f>+IF(AND(C7=$Q$11,D7=$T$6),A7,"")&amp;" "&amp;IF(AND(C8=$Q$11,D8=$T$6),A8,"")&amp;" "&amp;IF(AND(C9=$Q$11,D9=$T$6),A9,"")&amp;" "&amp;IF(AND(C10=$Q$11,D10=$T$6),A10,"")&amp;" "&amp;IF(AND(C11=$Q$11,D11=$T$6),A11,"")&amp;" "&amp;IF(AND(C12=$Q$11,D12=$T$6),A12,"")&amp;" "&amp;IF(AND(C13=$Q$11,D13=$T$6),A13,"")&amp;" "&amp;IF(AND(C14=$Q$11,D14=$T$6),A14,"")&amp;" "&amp;IF(AND(C15=$Q$11,D15=$T$6),A15,"")&amp;" "&amp;IF(AND(C16=$Q$11,D16=$T$6),A16,"")&amp;" "&amp;IF(AND(C17=$Q$11,D17=$T$6),A17,"")&amp;" "&amp;IF(AND(C18=$Q$11,D18=$T$6),A18,"")&amp;" "&amp;IF(AND(C19=$Q$11,D19=$T$6),A19,"")&amp;" "&amp;IF(AND(C20=$Q$11,D20=$T$6),A20,"")&amp;" "&amp;IF(AND(C21=$Q$11,D21=$T$6),A21,"")&amp;" "&amp;IF(AND(C22=$Q$11,D22=$T$6),A22,"")&amp;" "&amp;IF(AND(C23=$Q$11,D23=$T$6),A23,"")&amp;" "&amp;IF(AND(C24=$Q$11,D24=$T$6),A24,"")&amp;" "&amp;IF(AND(C25=$Q$11,D25=$T$6),A25,"")&amp;" "&amp;IF(AND(C26=$Q$11,D26=$T$6),A26,"")</f>
        <v xml:space="preserve">     GS11    GS11          </v>
      </c>
      <c r="L11" s="183" t="str">
        <f>+IF(AND(C7=$Q$11,D7=$U$6),A7,"")&amp;" "&amp;IF(AND(C8=$Q$11,D8=$U$6),A8,"")&amp;" "&amp;IF(AND(C9=$Q$11,D9=$U$6),A9,"")&amp;" "&amp;IF(AND(C10=$Q$11,D10=$U$6),A10,"")&amp;" "&amp;IF(AND(C11=$Q$11,D11=$U$6),A11,"")&amp;" "&amp;IF(AND(C12=$Q$11,D12=$U$6),A12,"")&amp;" "&amp;IF(AND(C13=$Q$11,D13=$U$6),A13,"")&amp;" "&amp;IF(AND(C14=$Q$11,D14=$U$6),A14,"")&amp;" "&amp;IF(AND(C15=$Q$11,D15=$U$6),A15,"")&amp;" "&amp;IF(AND(C16=$Q$11,D16=$U$6),A16,"")&amp;" "&amp;IF(AND(C17=$Q$11,D17=$U$6),A17,"")&amp;" "&amp;IF(AND(C18=$Q$11,D18=$U$6),A18,"")&amp;" "&amp;IF(AND(C19=$Q$11,D19=$U$6),A19,"")&amp;" "&amp;IF(AND(C20=$Q$11,D20=$U$6),A20,"")&amp;" "&amp;IF(AND(C21=$Q$11,D21=$U$6),A21,"")&amp;" "&amp;IF(AND(C22=$Q$11,D22=$U$6),A22,"")&amp;" "&amp;IF(AND(C23=$Q$11,D23=$U$6),A23,"")&amp;" "&amp;IF(AND(C24=$Q$11,D24=$U$6),A24,"")&amp;" "&amp;IF(AND(C25=$Q$11,D25=$U$6),A25,"")&amp;" "&amp;IF(AND(C26=$Q$11,D26=$U$6),A26,"")</f>
        <v xml:space="preserve">                   </v>
      </c>
      <c r="M11" s="184" t="str">
        <f>+IF(AND(C7=$Q$11,D7=$V$6),A7,"")&amp;" "&amp;IF(AND(C8=$Q$11,D8=$V$6),A8,"")&amp;" "&amp;IF(AND(C9=$Q$11,D9=$V$6),A9,"")&amp;" "&amp;IF(AND(C10=$Q$11,D10=$V$6),A10,"")&amp;" "&amp;IF(AND(C11=$Q$11,D11=$V$6),A11,"")&amp;" "&amp;IF(AND(C12=$Q$11,D12=$V$6),A12,"")&amp;" "&amp;IF(AND(C13=$Q$11,D13=$V$6),A13,"")&amp;" "&amp;IF(AND(C14=$Q$11,D14=$V$6),A14,"")&amp;" "&amp;IF(AND(C15=$Q$11,D15=$V$6),A15,"")&amp;" "&amp;IF(AND(C16=$Q$11,D16=$V$6),A16,"")&amp;" "&amp;IF(AND(C17=$Q$11,D17=$V$6),A17,"")&amp;" "&amp;IF(AND(C18=$Q$11,D18=$V$6),A18,"")&amp;" "&amp;IF(AND(C19=$Q$11,D19=$V$6),A19,"")&amp;" "&amp;IF(AND(C20=$Q$11,D20=$V$6),A20,"")&amp;" "&amp;IF(AND(C21=$Q$11,D21=$V$6),A21,"")&amp;" "&amp;IF(AND(C22=$Q$11,D22=$V$6),A22,"")&amp;" "&amp;IF(AND(C23=$Q$11,D23=$V$6),A23,"")&amp;" "&amp;IF(AND(C24=$Q$11,D24=$V$6),A24,"")&amp;" "&amp;IF(AND(C25=$Q$11,D25=$V$6),A25,"")&amp;" "&amp;IF(AND(C26=$Q$11,D26=$V$6),A26,"")</f>
        <v xml:space="preserve">                   </v>
      </c>
      <c r="N11" s="170"/>
      <c r="O11" s="459"/>
      <c r="P11" s="185">
        <v>0.2</v>
      </c>
      <c r="Q11" s="186" t="s">
        <v>294</v>
      </c>
      <c r="R11" s="181" t="s">
        <v>17</v>
      </c>
      <c r="S11" s="181" t="s">
        <v>17</v>
      </c>
      <c r="T11" s="182" t="s">
        <v>15</v>
      </c>
      <c r="U11" s="183" t="s">
        <v>13</v>
      </c>
      <c r="V11" s="184" t="s">
        <v>11</v>
      </c>
      <c r="Y11" s="155"/>
      <c r="Z11" s="155"/>
      <c r="AA11" s="166"/>
      <c r="AB11" s="176"/>
      <c r="AC11" s="177"/>
      <c r="AD11" s="174"/>
      <c r="AE11" s="174"/>
      <c r="AF11" s="174"/>
      <c r="AG11" s="187"/>
      <c r="AH11" s="174"/>
      <c r="AI11" s="166"/>
      <c r="AJ11" s="166"/>
    </row>
    <row r="12" spans="1:36" ht="93" customHeight="1" x14ac:dyDescent="0.25">
      <c r="A12" s="167" t="str">
        <f>'2. MATRIZ DE RIESGOS'!A39</f>
        <v>GS11</v>
      </c>
      <c r="B12" s="168" t="str">
        <f>'2. MATRIZ DE RIESGOS'!G39</f>
        <v>Posibilidad de afectación reputacional del Instituto reflejada en posibles demandas por parte de la comunidad por falta de información de los proyectos a ejecutar, así como por quejas por parte del desarrollador por retrasos en el inicio de la obras, debido al incumplimiento del acompañamiento social en obra establecido en la Guía de Manejo Socioambiental Distrital.</v>
      </c>
      <c r="C12" s="169" t="str">
        <f>'2. MATRIZ DE RIESGOS'!J39</f>
        <v>Muy Baja</v>
      </c>
      <c r="D12" s="169" t="str">
        <f>'2. MATRIZ DE RIESGOS'!L39</f>
        <v>Moderado</v>
      </c>
      <c r="E12" s="168" t="str">
        <f t="shared" si="1"/>
        <v>Moderado</v>
      </c>
      <c r="F12" s="170"/>
      <c r="G12" s="170"/>
      <c r="H12" s="170"/>
      <c r="I12" s="170"/>
      <c r="J12" s="170"/>
      <c r="K12" s="170"/>
      <c r="L12" s="170"/>
      <c r="M12" s="170"/>
      <c r="N12" s="170"/>
      <c r="Y12" s="155"/>
      <c r="Z12" s="155"/>
      <c r="AA12" s="166"/>
      <c r="AB12" s="176"/>
      <c r="AC12" s="177"/>
      <c r="AD12" s="174"/>
      <c r="AE12" s="174"/>
      <c r="AF12" s="174"/>
      <c r="AG12" s="174"/>
      <c r="AH12" s="174"/>
      <c r="AI12" s="166"/>
      <c r="AJ12" s="166"/>
    </row>
    <row r="13" spans="1:36" ht="93" customHeight="1" x14ac:dyDescent="0.25">
      <c r="A13" s="167" t="str">
        <f>'2. MATRIZ DE RIESGOS'!A42</f>
        <v>GS16</v>
      </c>
      <c r="B13" s="168" t="str">
        <f>'2. MATRIZ DE RIESGOS'!G42</f>
        <v>Posiblidad de afectación reputacional del Instituto reflelada en  PQRSD por parte de la comunidad, así como por incumplimiento de los indicadores de asignación del SDV, debido a que menos del 50% de los hogares que se inscriben al SDV en la modalidad de demanda libre y demanda organizada cumplen con los requisitos para la asignación del mismo.</v>
      </c>
      <c r="C13" s="169" t="str">
        <f>'2. MATRIZ DE RIESGOS'!J42</f>
        <v>Media</v>
      </c>
      <c r="D13" s="169" t="str">
        <f>'2. MATRIZ DE RIESGOS'!L42</f>
        <v>Moderado</v>
      </c>
      <c r="E13" s="168" t="str">
        <f t="shared" si="1"/>
        <v>Moderado</v>
      </c>
      <c r="F13" s="170"/>
      <c r="G13" s="170"/>
      <c r="H13" s="170"/>
      <c r="I13" s="170"/>
      <c r="J13" s="170"/>
      <c r="K13" s="170"/>
      <c r="L13" s="170"/>
      <c r="M13" s="170"/>
      <c r="N13" s="170"/>
      <c r="R13" s="147" t="s">
        <v>9</v>
      </c>
      <c r="T13" s="155"/>
      <c r="U13" s="155"/>
      <c r="V13" s="155"/>
      <c r="W13" s="155"/>
      <c r="X13" s="155"/>
      <c r="Y13" s="155"/>
      <c r="Z13" s="155"/>
      <c r="AA13" s="166"/>
      <c r="AB13" s="176"/>
      <c r="AC13" s="166"/>
      <c r="AD13" s="177"/>
      <c r="AE13" s="177"/>
      <c r="AF13" s="177"/>
      <c r="AG13" s="177"/>
      <c r="AH13" s="177"/>
      <c r="AI13" s="166"/>
      <c r="AJ13" s="166"/>
    </row>
    <row r="14" spans="1:36" ht="93" customHeight="1" x14ac:dyDescent="0.25">
      <c r="A14" s="167" t="str">
        <f>'2. MATRIZ DE RIESGOS'!A44</f>
        <v>GS17</v>
      </c>
      <c r="B14" s="168" t="str">
        <f>'2. MATRIZ DE RIESGOS'!G44</f>
        <v>Posibilidad de afectación reputacional y económica del Instituto, reflejada en PQRSD por parte de los hogares postulados, requermientos por parte de líderes comunales, el distrito de Medellín o el Concejo, hallazgos de entes de control y traslados de rubros, ajustes en el presupuesto, así como por   incumplimiento de los indicadores de asignación del SDV. Lo anterior, debido a que Menos del 90% de los hogares remitidos por cada linea de acción, logran la postulación al SDV en la modalidad e vivienda nueva y usada.</v>
      </c>
      <c r="C14" s="169" t="str">
        <f>'2. MATRIZ DE RIESGOS'!J44</f>
        <v>Media</v>
      </c>
      <c r="D14" s="169" t="str">
        <f>'2. MATRIZ DE RIESGOS'!L44</f>
        <v>Moderado</v>
      </c>
      <c r="E14" s="168" t="str">
        <f t="shared" si="1"/>
        <v>Moderado</v>
      </c>
      <c r="F14" s="170"/>
      <c r="G14" s="170"/>
      <c r="H14" s="170"/>
      <c r="I14" s="170"/>
      <c r="J14" s="170"/>
      <c r="K14" s="170"/>
      <c r="L14" s="170"/>
      <c r="M14" s="170"/>
      <c r="N14" s="170"/>
      <c r="R14" s="188" t="s">
        <v>11</v>
      </c>
      <c r="T14" s="155"/>
      <c r="U14" s="155"/>
      <c r="V14" s="155"/>
      <c r="W14" s="155"/>
      <c r="X14" s="155"/>
      <c r="Y14" s="155"/>
      <c r="Z14" s="155"/>
      <c r="AA14" s="166"/>
      <c r="AB14" s="166"/>
      <c r="AC14" s="166"/>
      <c r="AD14" s="174"/>
      <c r="AE14" s="174"/>
      <c r="AF14" s="174"/>
      <c r="AG14" s="174"/>
      <c r="AH14" s="174"/>
      <c r="AI14" s="166"/>
      <c r="AJ14" s="166"/>
    </row>
    <row r="15" spans="1:36" ht="93" customHeight="1" x14ac:dyDescent="0.25">
      <c r="A15" s="167" t="str">
        <f>'2. MATRIZ DE RIESGOS'!A47</f>
        <v>GS19</v>
      </c>
      <c r="B15" s="168" t="str">
        <f>'2. MATRIZ DE RIESGOS'!G47</f>
        <v>Posiblidad de afectación reputacional y económica del Instituto, reflejada en PQRSD por parte de los hogares beneficiarios del SDV, requerimientos por parte del distrito de Medellín o el Concejo, hallazgos de entes de control, un mayor tiempo de desembolso de recursos para el pago del arrendamiento temporal (población sujeto de reasentamiento por riesgo, desastre y/o calamidad), asi como un mayor valor del SDV que debe ser entregado a los hogares beneficiarios. Lo anterior, debido a que no se cumple con la entrega de la totalidad de las viviendas remitidas por la Subdirección de Dotación de Vivienda y Habitat de manera oportuna y en cumplimiento de los requisitos establecidos</v>
      </c>
      <c r="C15" s="169" t="str">
        <f>'2. MATRIZ DE RIESGOS'!J47</f>
        <v>Alta</v>
      </c>
      <c r="D15" s="169" t="str">
        <f>'2. MATRIZ DE RIESGOS'!L47</f>
        <v>Mayor</v>
      </c>
      <c r="E15" s="168" t="str">
        <f t="shared" si="1"/>
        <v>Alto</v>
      </c>
      <c r="F15" s="170"/>
      <c r="G15" s="170"/>
      <c r="H15" s="170"/>
      <c r="I15" s="170"/>
      <c r="J15" s="170"/>
      <c r="K15" s="170"/>
      <c r="L15" s="170"/>
      <c r="M15" s="170"/>
      <c r="N15" s="170"/>
      <c r="R15" s="171" t="s">
        <v>13</v>
      </c>
      <c r="S15" s="155"/>
      <c r="T15" s="155"/>
      <c r="U15" s="155"/>
      <c r="V15" s="155"/>
      <c r="W15" s="155"/>
      <c r="X15" s="155"/>
      <c r="Y15" s="155"/>
      <c r="Z15" s="155"/>
      <c r="AA15" s="166"/>
      <c r="AB15" s="166"/>
      <c r="AC15" s="166"/>
      <c r="AD15" s="174"/>
      <c r="AE15" s="174"/>
      <c r="AF15" s="174"/>
      <c r="AG15" s="174"/>
      <c r="AH15" s="174"/>
      <c r="AI15" s="166"/>
      <c r="AJ15" s="166"/>
    </row>
    <row r="16" spans="1:36" ht="93" customHeight="1" x14ac:dyDescent="0.25">
      <c r="A16" s="167" t="str">
        <f>'2. MATRIZ DE RIESGOS'!A39</f>
        <v>GS11</v>
      </c>
      <c r="B16" s="168" t="str">
        <f>'2. MATRIZ DE RIESGOS'!G39</f>
        <v>Posibilidad de afectación reputacional del Instituto reflejada en posibles demandas por parte de la comunidad por falta de información de los proyectos a ejecutar, así como por quejas por parte del desarrollador por retrasos en el inicio de la obras, debido al incumplimiento del acompañamiento social en obra establecido en la Guía de Manejo Socioambiental Distrital.</v>
      </c>
      <c r="C16" s="169" t="str">
        <f>'2. MATRIZ DE RIESGOS'!J39</f>
        <v>Muy Baja</v>
      </c>
      <c r="D16" s="169" t="str">
        <f>'2. MATRIZ DE RIESGOS'!L39</f>
        <v>Moderado</v>
      </c>
      <c r="E16" s="168" t="str">
        <f t="shared" si="1"/>
        <v>Moderado</v>
      </c>
      <c r="F16" s="170"/>
      <c r="G16" s="170"/>
      <c r="H16" s="170"/>
      <c r="I16" s="170"/>
      <c r="J16" s="170"/>
      <c r="K16" s="170"/>
      <c r="L16" s="170"/>
      <c r="M16" s="170"/>
      <c r="N16" s="170"/>
      <c r="Q16" s="189"/>
      <c r="R16" s="175" t="s">
        <v>15</v>
      </c>
      <c r="S16" s="189"/>
      <c r="T16" s="189"/>
      <c r="U16" s="189"/>
      <c r="V16" s="189"/>
      <c r="W16" s="189"/>
      <c r="X16" s="189"/>
      <c r="Y16" s="189"/>
      <c r="Z16" s="189"/>
      <c r="AA16" s="166"/>
      <c r="AB16" s="166"/>
      <c r="AC16" s="190"/>
      <c r="AD16" s="190"/>
      <c r="AE16" s="190"/>
      <c r="AF16" s="190"/>
      <c r="AG16" s="190"/>
      <c r="AH16" s="190"/>
      <c r="AI16" s="166"/>
      <c r="AJ16" s="166"/>
    </row>
    <row r="17" spans="1:36" ht="93" customHeight="1" x14ac:dyDescent="0.25">
      <c r="A17" s="167" t="str">
        <f>'2. MATRIZ DE RIESGOS'!A52</f>
        <v>GS15</v>
      </c>
      <c r="B17" s="168" t="str">
        <f>'2. MATRIZ DE RIESGOS'!G52</f>
        <v>Posibilidad de afectación reputacional y económica del Instituto reflejada en PQRSD por parte de los beneficiarios, requerimientos por parte de la entidades contratantes por posible incumplimiento de los convenios / contratos interadministrativos, asi como sanciones pecuniarias por incumplimientos contractuales. Lo anterior debido a que no se cuente con la identificación de la vivienda de reposición en cumplmiento de la normatividad aplicable para la totalidad de los hogares remitidos, durante la vigencia de los Convenios/Contratos Interadministrativos.</v>
      </c>
      <c r="C17" s="169" t="str">
        <f>'2. MATRIZ DE RIESGOS'!J52</f>
        <v>Baja</v>
      </c>
      <c r="D17" s="169" t="str">
        <f>'2. MATRIZ DE RIESGOS'!L52</f>
        <v>Mayor</v>
      </c>
      <c r="E17" s="168" t="str">
        <f t="shared" si="1"/>
        <v>Alto</v>
      </c>
      <c r="F17" s="170"/>
      <c r="G17" s="170"/>
      <c r="H17" s="170"/>
      <c r="I17" s="170"/>
      <c r="J17" s="170"/>
      <c r="K17" s="170"/>
      <c r="L17" s="170"/>
      <c r="M17" s="170"/>
      <c r="N17" s="170"/>
      <c r="Q17" s="189"/>
      <c r="R17" s="179" t="s">
        <v>17</v>
      </c>
      <c r="Y17" s="189"/>
      <c r="Z17" s="189"/>
      <c r="AA17" s="166"/>
      <c r="AB17" s="166"/>
      <c r="AC17" s="166"/>
      <c r="AD17" s="174"/>
      <c r="AE17" s="174"/>
      <c r="AF17" s="174"/>
      <c r="AG17" s="174"/>
      <c r="AH17" s="174"/>
      <c r="AI17" s="166"/>
      <c r="AJ17" s="166"/>
    </row>
    <row r="18" spans="1:36" ht="93" customHeight="1" x14ac:dyDescent="0.25">
      <c r="A18" s="167" t="str">
        <f>'2. MATRIZ DE RIESGOS'!A55</f>
        <v>GS18</v>
      </c>
      <c r="B18" s="168" t="str">
        <f>'2. MATRIZ DE RIESGOS'!G55</f>
        <v>Posibilidad de afectación económica y reputacional del Instituto reflejada en sanciones pecuniarias por el incumplimiento del Convenio / Contrato Interadministrativo, PQRSD por parte de los benficiarios del SDV asi como requerimientos por parte de la entidad contratante. Lo anterior, debido al incumplimiento de las actividades de acompañamiento social para la totalidad de los hogares con vivienda de reposición identificada durante la vigencia de los contratos interadministrativos.</v>
      </c>
      <c r="C18" s="169" t="str">
        <f>'2. MATRIZ DE RIESGOS'!J55</f>
        <v>Media</v>
      </c>
      <c r="D18" s="169" t="str">
        <f>'2. MATRIZ DE RIESGOS'!L55</f>
        <v>Mayor</v>
      </c>
      <c r="E18" s="168" t="str">
        <f t="shared" si="1"/>
        <v>Alto</v>
      </c>
      <c r="F18" s="170"/>
      <c r="G18" s="170"/>
      <c r="H18" s="170"/>
      <c r="I18" s="170"/>
      <c r="J18" s="170"/>
      <c r="K18" s="170"/>
      <c r="L18" s="170"/>
      <c r="M18" s="170"/>
      <c r="N18" s="170"/>
      <c r="O18" s="191"/>
      <c r="P18" s="191"/>
      <c r="Q18" s="189"/>
      <c r="Y18" s="189"/>
      <c r="Z18" s="189"/>
      <c r="AA18" s="166"/>
      <c r="AB18" s="166"/>
      <c r="AC18" s="166"/>
      <c r="AD18" s="174"/>
      <c r="AE18" s="174"/>
      <c r="AF18" s="174"/>
      <c r="AG18" s="174"/>
      <c r="AH18" s="174"/>
      <c r="AI18" s="166"/>
      <c r="AJ18" s="166"/>
    </row>
    <row r="19" spans="1:36" ht="93" customHeight="1" x14ac:dyDescent="0.25">
      <c r="A19" s="167" t="str">
        <f>'2. MATRIZ DE RIESGOS'!A42</f>
        <v>GS16</v>
      </c>
      <c r="B19" s="168" t="str">
        <f>'2. MATRIZ DE RIESGOS'!G42</f>
        <v>Posiblidad de afectación reputacional del Instituto reflelada en  PQRSD por parte de la comunidad, así como por incumplimiento de los indicadores de asignación del SDV, debido a que menos del 50% de los hogares que se inscriben al SDV en la modalidad de demanda libre y demanda organizada cumplen con los requisitos para la asignación del mismo.</v>
      </c>
      <c r="C19" s="169" t="str">
        <f>'2. MATRIZ DE RIESGOS'!J42</f>
        <v>Media</v>
      </c>
      <c r="D19" s="169" t="str">
        <f>'2. MATRIZ DE RIESGOS'!L42</f>
        <v>Moderado</v>
      </c>
      <c r="E19" s="168" t="str">
        <f t="shared" si="1"/>
        <v>Moderado</v>
      </c>
      <c r="F19" s="170"/>
      <c r="G19" s="170"/>
      <c r="H19" s="170"/>
      <c r="I19" s="170"/>
      <c r="J19" s="170"/>
      <c r="K19" s="170"/>
      <c r="L19" s="170"/>
      <c r="M19" s="170"/>
      <c r="N19" s="170"/>
      <c r="O19" s="191"/>
      <c r="P19" s="191"/>
      <c r="Q19" s="192"/>
      <c r="Y19" s="189"/>
      <c r="Z19" s="189"/>
      <c r="AA19" s="166"/>
      <c r="AB19" s="187"/>
      <c r="AC19" s="187"/>
      <c r="AD19" s="187"/>
      <c r="AE19" s="187"/>
      <c r="AF19" s="187"/>
      <c r="AG19" s="187"/>
      <c r="AH19" s="174"/>
      <c r="AI19" s="166"/>
      <c r="AJ19" s="166"/>
    </row>
    <row r="20" spans="1:36" ht="93" customHeight="1" x14ac:dyDescent="0.25">
      <c r="A20" s="167" t="str">
        <f>'2. MATRIZ DE RIESGOS'!A60</f>
        <v>GS20</v>
      </c>
      <c r="B20" s="168" t="str">
        <f>'2. MATRIZ DE RIESGOS'!G60</f>
        <v>Posibilidad de afectación reputacional del Instituto reflejada en PQRSD por parte de los benficiarios, requerimientos por parte de la entidad contratante, asi como revocatoria de los actos administrativos. Lo anterior por causa de que menos del 95% de las asignaciónes para el SDV son efectivas.</v>
      </c>
      <c r="C20" s="169" t="str">
        <f>'2. MATRIZ DE RIESGOS'!J60</f>
        <v>Media</v>
      </c>
      <c r="D20" s="169" t="str">
        <f>'2. MATRIZ DE RIESGOS'!L60</f>
        <v>Moderado</v>
      </c>
      <c r="E20" s="168" t="str">
        <f t="shared" si="1"/>
        <v>Moderado</v>
      </c>
      <c r="F20" s="170"/>
      <c r="G20" s="170"/>
      <c r="H20" s="170"/>
      <c r="I20" s="170"/>
      <c r="J20" s="170"/>
      <c r="K20" s="170"/>
      <c r="L20" s="170"/>
      <c r="M20" s="170"/>
      <c r="N20" s="170"/>
      <c r="O20" s="191"/>
      <c r="P20" s="191"/>
      <c r="AA20" s="166"/>
      <c r="AB20" s="193"/>
      <c r="AC20" s="193"/>
      <c r="AD20" s="193"/>
      <c r="AE20" s="193"/>
      <c r="AF20" s="193"/>
      <c r="AG20" s="193"/>
      <c r="AH20" s="174"/>
      <c r="AI20" s="166"/>
      <c r="AJ20" s="166"/>
    </row>
    <row r="21" spans="1:36" ht="93" customHeight="1" x14ac:dyDescent="0.25">
      <c r="A21" s="167" t="str">
        <f>'2. MATRIZ DE RIESGOS'!A63</f>
        <v>GS13</v>
      </c>
      <c r="B21" s="168" t="str">
        <f>'2. MATRIZ DE RIESGOS'!G63</f>
        <v>Posibilidad de afectación económica del Instituto reflejada en demandas, multas y sanciones por parte de los funcionarios / contratistas y/o  entes de control, debido a la materialización de situaciones que atentan contra la integridad física del personal que desarrolla actividades de campo en el marco del acompañamiento social a los hogares sujetos de atención del Isvimed antes, durante y después de la entrega de la solución definitiva de vivienda.</v>
      </c>
      <c r="C21" s="169" t="str">
        <f>'2. MATRIZ DE RIESGOS'!J63</f>
        <v>Alta</v>
      </c>
      <c r="D21" s="169" t="str">
        <f>'2. MATRIZ DE RIESGOS'!L63</f>
        <v>Catastrófico</v>
      </c>
      <c r="E21" s="168" t="str">
        <f t="shared" si="1"/>
        <v>Extremo</v>
      </c>
      <c r="F21" s="170"/>
      <c r="G21" s="170"/>
      <c r="H21" s="170"/>
      <c r="I21" s="170"/>
      <c r="J21" s="170"/>
      <c r="K21" s="170"/>
      <c r="L21" s="170"/>
      <c r="M21" s="170"/>
      <c r="N21" s="170"/>
      <c r="O21" s="191"/>
      <c r="P21" s="191"/>
      <c r="AA21" s="166"/>
      <c r="AB21" s="187"/>
      <c r="AC21" s="187"/>
      <c r="AD21" s="187"/>
      <c r="AE21" s="187"/>
      <c r="AF21" s="187"/>
      <c r="AG21" s="187"/>
      <c r="AH21" s="174"/>
      <c r="AI21" s="166"/>
      <c r="AJ21" s="166"/>
    </row>
    <row r="22" spans="1:36" ht="93" customHeight="1" x14ac:dyDescent="0.25">
      <c r="A22" s="167" t="s">
        <v>480</v>
      </c>
      <c r="B22" s="168">
        <v>0</v>
      </c>
      <c r="C22" s="169" t="s">
        <v>481</v>
      </c>
      <c r="D22" s="169" t="s">
        <v>481</v>
      </c>
      <c r="E22" s="168" t="str">
        <f t="shared" si="0"/>
        <v/>
      </c>
      <c r="F22" s="170"/>
      <c r="G22" s="170"/>
      <c r="H22" s="170"/>
      <c r="I22" s="170"/>
      <c r="J22" s="170"/>
      <c r="K22" s="170"/>
      <c r="L22" s="170"/>
      <c r="M22" s="170"/>
      <c r="N22" s="170"/>
      <c r="AA22" s="166"/>
      <c r="AB22" s="187"/>
      <c r="AC22" s="187"/>
      <c r="AD22" s="187"/>
      <c r="AE22" s="187"/>
      <c r="AF22" s="187"/>
      <c r="AG22" s="187"/>
      <c r="AH22" s="174"/>
      <c r="AI22" s="166"/>
      <c r="AJ22" s="166"/>
    </row>
    <row r="23" spans="1:36" ht="93" customHeight="1" x14ac:dyDescent="0.3">
      <c r="A23" s="167" t="s">
        <v>482</v>
      </c>
      <c r="B23" s="168">
        <v>0</v>
      </c>
      <c r="C23" s="169" t="s">
        <v>481</v>
      </c>
      <c r="D23" s="169" t="s">
        <v>481</v>
      </c>
      <c r="E23" s="168" t="str">
        <f t="shared" si="0"/>
        <v/>
      </c>
      <c r="F23" s="170"/>
      <c r="G23" s="170"/>
      <c r="H23" s="170"/>
      <c r="I23" s="170"/>
      <c r="J23" s="170"/>
      <c r="K23" s="170"/>
      <c r="L23" s="170"/>
      <c r="M23" s="170"/>
      <c r="N23" s="170"/>
    </row>
    <row r="24" spans="1:36" ht="93" customHeight="1" x14ac:dyDescent="0.3">
      <c r="A24" s="167" t="s">
        <v>483</v>
      </c>
      <c r="B24" s="168">
        <v>0</v>
      </c>
      <c r="C24" s="169" t="s">
        <v>481</v>
      </c>
      <c r="D24" s="169" t="s">
        <v>481</v>
      </c>
      <c r="E24" s="168" t="str">
        <f t="shared" si="0"/>
        <v/>
      </c>
      <c r="F24" s="170"/>
      <c r="G24" s="170"/>
      <c r="H24" s="170"/>
      <c r="I24" s="170"/>
      <c r="J24" s="170"/>
      <c r="K24" s="170"/>
      <c r="L24" s="170"/>
      <c r="M24" s="170"/>
      <c r="N24" s="170"/>
    </row>
    <row r="25" spans="1:36" ht="93" customHeight="1" x14ac:dyDescent="0.3">
      <c r="A25" s="167" t="s">
        <v>484</v>
      </c>
      <c r="B25" s="168">
        <v>0</v>
      </c>
      <c r="C25" s="169" t="s">
        <v>481</v>
      </c>
      <c r="D25" s="169" t="s">
        <v>481</v>
      </c>
      <c r="E25" s="168" t="str">
        <f t="shared" si="0"/>
        <v/>
      </c>
      <c r="F25" s="170"/>
      <c r="G25" s="170"/>
      <c r="H25" s="170"/>
      <c r="I25" s="170"/>
      <c r="J25" s="170"/>
      <c r="K25" s="170"/>
      <c r="L25" s="170"/>
      <c r="M25" s="170"/>
      <c r="N25" s="170"/>
    </row>
    <row r="26" spans="1:36" ht="93" customHeight="1" x14ac:dyDescent="0.3">
      <c r="A26" s="167" t="s">
        <v>485</v>
      </c>
      <c r="B26" s="168">
        <v>0</v>
      </c>
      <c r="C26" s="169" t="s">
        <v>481</v>
      </c>
      <c r="D26" s="169" t="s">
        <v>481</v>
      </c>
      <c r="E26" s="168" t="str">
        <f t="shared" si="0"/>
        <v/>
      </c>
      <c r="F26" s="170"/>
      <c r="G26" s="170"/>
      <c r="H26" s="170"/>
      <c r="I26" s="170"/>
      <c r="J26" s="170"/>
      <c r="K26" s="170"/>
      <c r="L26" s="170"/>
      <c r="M26" s="170"/>
      <c r="N26" s="170"/>
    </row>
    <row r="27" spans="1:36" ht="14.7" customHeight="1" x14ac:dyDescent="0.3">
      <c r="B27" s="152"/>
      <c r="D27" s="152"/>
      <c r="E27" s="152"/>
      <c r="F27" s="152"/>
      <c r="G27" s="152"/>
      <c r="H27" s="152"/>
      <c r="I27" s="152"/>
      <c r="J27" s="152"/>
      <c r="K27" s="152"/>
      <c r="L27" s="152"/>
      <c r="M27" s="152"/>
      <c r="N27" s="152"/>
      <c r="Y27" s="156"/>
      <c r="Z27" s="156"/>
      <c r="AA27" s="156"/>
      <c r="AB27" s="156"/>
      <c r="AC27" s="156"/>
      <c r="AD27" s="152"/>
      <c r="AE27" s="152"/>
      <c r="AF27" s="152"/>
      <c r="AG27" s="152"/>
      <c r="AH27" s="152"/>
    </row>
    <row r="28" spans="1:36" ht="39" customHeight="1" x14ac:dyDescent="0.3">
      <c r="B28" s="152"/>
      <c r="D28" s="152"/>
      <c r="E28" s="152"/>
      <c r="F28" s="152"/>
      <c r="G28" s="152"/>
      <c r="H28" s="152"/>
      <c r="I28" s="152"/>
      <c r="J28" s="152"/>
      <c r="K28" s="152"/>
      <c r="L28" s="152"/>
      <c r="M28" s="152"/>
      <c r="N28" s="152"/>
      <c r="Y28" s="156"/>
      <c r="Z28" s="156"/>
      <c r="AA28" s="156"/>
      <c r="AB28" s="156"/>
      <c r="AC28" s="156"/>
      <c r="AD28" s="152"/>
      <c r="AE28" s="152"/>
      <c r="AF28" s="152"/>
      <c r="AG28" s="152"/>
      <c r="AH28" s="152"/>
    </row>
    <row r="29" spans="1:36" ht="19.5" customHeight="1" x14ac:dyDescent="0.3">
      <c r="B29" s="152"/>
      <c r="D29" s="152"/>
      <c r="E29" s="152"/>
      <c r="F29" s="152"/>
      <c r="G29" s="152"/>
      <c r="H29" s="152"/>
      <c r="I29" s="152"/>
      <c r="J29" s="152"/>
      <c r="K29" s="152"/>
      <c r="L29" s="152"/>
      <c r="M29" s="152"/>
      <c r="N29" s="152"/>
      <c r="Y29" s="156"/>
      <c r="Z29" s="156"/>
      <c r="AA29" s="156"/>
      <c r="AB29" s="156"/>
      <c r="AC29" s="156"/>
      <c r="AD29" s="152"/>
      <c r="AE29" s="152"/>
      <c r="AF29" s="152"/>
      <c r="AG29" s="152"/>
      <c r="AH29" s="152"/>
    </row>
    <row r="30" spans="1:36" ht="19.5" customHeight="1" x14ac:dyDescent="0.3">
      <c r="B30" s="152"/>
      <c r="D30" s="152"/>
      <c r="E30" s="152"/>
      <c r="F30" s="152"/>
      <c r="G30" s="152"/>
      <c r="H30" s="152"/>
      <c r="I30" s="152"/>
      <c r="J30" s="152"/>
      <c r="K30" s="152"/>
      <c r="L30" s="152"/>
      <c r="M30" s="152"/>
      <c r="N30" s="152"/>
      <c r="Y30" s="156"/>
      <c r="Z30" s="156"/>
      <c r="AA30" s="156"/>
      <c r="AB30" s="156"/>
      <c r="AC30" s="156"/>
      <c r="AD30" s="152"/>
      <c r="AE30" s="152"/>
      <c r="AF30" s="152"/>
      <c r="AG30" s="152"/>
      <c r="AH30" s="152"/>
    </row>
    <row r="31" spans="1:36" ht="19.5" customHeight="1" x14ac:dyDescent="0.3">
      <c r="B31" s="152"/>
      <c r="D31" s="152"/>
      <c r="E31" s="152"/>
      <c r="F31" s="152"/>
      <c r="G31" s="152"/>
      <c r="H31" s="152"/>
      <c r="I31" s="152"/>
      <c r="J31" s="152"/>
      <c r="K31" s="152"/>
      <c r="L31" s="152"/>
      <c r="M31" s="152"/>
      <c r="N31" s="152"/>
      <c r="Y31" s="156"/>
      <c r="Z31" s="156"/>
      <c r="AA31" s="156"/>
      <c r="AB31" s="156"/>
      <c r="AC31" s="156"/>
      <c r="AD31" s="152"/>
      <c r="AE31" s="152"/>
      <c r="AF31" s="152"/>
      <c r="AG31" s="152"/>
      <c r="AH31" s="152"/>
    </row>
    <row r="32" spans="1:36" ht="19.5" customHeight="1" x14ac:dyDescent="0.3">
      <c r="B32" s="152"/>
      <c r="D32" s="152"/>
      <c r="E32" s="152"/>
      <c r="F32" s="152"/>
      <c r="G32" s="152"/>
      <c r="H32" s="152"/>
      <c r="I32" s="152"/>
      <c r="J32" s="152"/>
      <c r="K32" s="152"/>
      <c r="L32" s="152"/>
      <c r="M32" s="152"/>
      <c r="N32" s="152"/>
      <c r="Y32" s="156"/>
      <c r="Z32" s="156"/>
      <c r="AA32" s="156"/>
      <c r="AB32" s="156"/>
      <c r="AC32" s="156"/>
      <c r="AD32" s="152"/>
      <c r="AE32" s="152"/>
      <c r="AF32" s="152"/>
      <c r="AG32" s="152"/>
      <c r="AH32" s="152"/>
    </row>
    <row r="33" spans="25:29" s="152" customFormat="1" ht="19.5" customHeight="1" x14ac:dyDescent="0.3">
      <c r="Y33" s="156"/>
      <c r="Z33" s="156"/>
      <c r="AA33" s="156"/>
      <c r="AB33" s="156"/>
      <c r="AC33" s="156"/>
    </row>
  </sheetData>
  <sheetProtection formatCells="0" formatColumns="0" formatRows="0" sort="0" autoFilter="0" pivotTables="0"/>
  <dataConsolidate/>
  <mergeCells count="8">
    <mergeCell ref="A1:D1"/>
    <mergeCell ref="B3:D3"/>
    <mergeCell ref="G4:M4"/>
    <mergeCell ref="R4:V4"/>
    <mergeCell ref="C5:E5"/>
    <mergeCell ref="I5:M5"/>
    <mergeCell ref="G7:G11"/>
    <mergeCell ref="O7:O11"/>
  </mergeCells>
  <conditionalFormatting sqref="C7:C26">
    <cfRule type="cellIs" dxfId="41" priority="6" operator="equal">
      <formula>$Q$11</formula>
    </cfRule>
    <cfRule type="cellIs" dxfId="40" priority="7" operator="equal">
      <formula>$Q$10</formula>
    </cfRule>
    <cfRule type="cellIs" dxfId="39" priority="8" operator="equal">
      <formula>$Q$9</formula>
    </cfRule>
    <cfRule type="cellIs" dxfId="38" priority="9" operator="equal">
      <formula>$Q$8</formula>
    </cfRule>
    <cfRule type="cellIs" dxfId="37" priority="10" operator="equal">
      <formula>$Q$7</formula>
    </cfRule>
  </conditionalFormatting>
  <conditionalFormatting sqref="D7:D26">
    <cfRule type="cellIs" dxfId="36" priority="1" operator="equal">
      <formula>$R$6</formula>
    </cfRule>
    <cfRule type="cellIs" dxfId="35" priority="2" operator="equal">
      <formula>$S$6</formula>
    </cfRule>
    <cfRule type="cellIs" dxfId="34" priority="3" operator="equal">
      <formula>$T$6</formula>
    </cfRule>
    <cfRule type="cellIs" dxfId="33" priority="4" operator="equal">
      <formula>$U$6</formula>
    </cfRule>
    <cfRule type="cellIs" dxfId="32" priority="5" operator="equal">
      <formula>$V$6</formula>
    </cfRule>
  </conditionalFormatting>
  <conditionalFormatting sqref="E7:E26">
    <cfRule type="cellIs" dxfId="31" priority="11" operator="equal">
      <formula>$R$14</formula>
    </cfRule>
    <cfRule type="cellIs" dxfId="30" priority="12" operator="equal">
      <formula>$R$15</formula>
    </cfRule>
    <cfRule type="cellIs" dxfId="29" priority="13" operator="equal">
      <formula>$R$16</formula>
    </cfRule>
    <cfRule type="cellIs" dxfId="28" priority="14" operator="equal">
      <formula>$R$17</formula>
    </cfRule>
  </conditionalFormatting>
  <dataValidations count="3">
    <dataValidation type="list" allowBlank="1" showInputMessage="1" showErrorMessage="1" sqref="JB7:JH14" xr:uid="{7373ED9B-5C7F-43BA-AD43-DAB69241EFD1}">
      <formula1>#REF!</formula1>
    </dataValidation>
    <dataValidation allowBlank="1" showInputMessage="1" showErrorMessage="1" prompt="La probabilidad se encuentra determinada por una escala de 1 a 3, siendo 1 la menor probabilidad de ocurrencia del riesgo y 3 la mayor probabilidad de  ocurrencia." sqref="JA6" xr:uid="{7BA85B66-06A2-4524-A638-662241511085}"/>
    <dataValidation allowBlank="1" showInputMessage="1" showErrorMessage="1" prompt="Es la materialización del riesgo y las consecuencias de su aparición. Su escala es: 5 bajo impacto, 10 medio, 20 alto impacto._x000a_" sqref="JB6:JH6" xr:uid="{FC6F0CDE-B3B6-45B2-BC36-67C03A98B988}"/>
  </dataValidations>
  <printOptions horizontalCentered="1" verticalCentered="1"/>
  <pageMargins left="0.31496062992125984" right="0.27559055118110237" top="0.23622047244094491" bottom="0.15748031496062992" header="0" footer="0"/>
  <pageSetup paperSize="5" scale="65"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FA0292-8DEE-4E4B-A2C9-0453B352ADB2}">
  <dimension ref="A1:XFC36"/>
  <sheetViews>
    <sheetView showGridLines="0" topLeftCell="A17" zoomScale="85" zoomScaleNormal="85" workbookViewId="0">
      <selection activeCell="A20" sqref="A20"/>
    </sheetView>
  </sheetViews>
  <sheetFormatPr baseColWidth="10" defaultColWidth="14.44140625" defaultRowHeight="13.2" customHeight="1" zeroHeight="1" x14ac:dyDescent="0.3"/>
  <cols>
    <col min="1" max="1" width="16.109375" style="152" customWidth="1"/>
    <col min="2" max="2" width="40.6640625" style="156" customWidth="1"/>
    <col min="3" max="3" width="13.44140625" style="156" customWidth="1"/>
    <col min="4" max="4" width="13" style="156" customWidth="1"/>
    <col min="5" max="5" width="16.44140625" style="202" customWidth="1"/>
    <col min="6" max="6" width="11.33203125" style="202" customWidth="1"/>
    <col min="7" max="7" width="15.44140625" style="156" customWidth="1"/>
    <col min="8" max="8" width="10.33203125" style="156" bestFit="1" customWidth="1"/>
    <col min="9" max="9" width="7.44140625" style="156" customWidth="1"/>
    <col min="10" max="10" width="14" style="156" customWidth="1"/>
    <col min="11" max="15" width="12.44140625" style="156" customWidth="1"/>
    <col min="16" max="16" width="3.6640625" style="156" customWidth="1"/>
    <col min="17" max="17" width="4.6640625" style="152" hidden="1" customWidth="1"/>
    <col min="18" max="18" width="5.6640625" style="152" hidden="1" customWidth="1"/>
    <col min="19" max="24" width="14" style="152" hidden="1" customWidth="1"/>
    <col min="25" max="25" width="11.44140625" style="152" customWidth="1"/>
    <col min="26" max="29" width="11.44140625" style="152" hidden="1" customWidth="1"/>
    <col min="30" max="30" width="5.44140625" style="152" hidden="1" customWidth="1"/>
    <col min="31" max="31" width="26.6640625" style="152" hidden="1" customWidth="1"/>
    <col min="32" max="36" width="22.6640625" style="156" hidden="1" customWidth="1"/>
    <col min="37" max="37" width="23.44140625" style="152" hidden="1" customWidth="1"/>
    <col min="38" max="265" width="11.44140625" style="152" hidden="1" customWidth="1"/>
    <col min="266" max="266" width="12.44140625" style="152" hidden="1" customWidth="1"/>
    <col min="267" max="267" width="47" style="152" hidden="1" customWidth="1"/>
    <col min="268" max="268" width="35" style="152" hidden="1" customWidth="1"/>
    <col min="269" max="16383" width="14.44140625" style="152"/>
    <col min="16384" max="16384" width="14.44140625" style="152" hidden="1" customWidth="1"/>
  </cols>
  <sheetData>
    <row r="1" spans="1:38" s="132" customFormat="1" ht="72" customHeight="1" x14ac:dyDescent="0.25">
      <c r="A1" s="460" t="s">
        <v>486</v>
      </c>
      <c r="B1" s="460"/>
      <c r="C1" s="460"/>
      <c r="D1" s="460"/>
      <c r="E1" s="194"/>
      <c r="G1" s="136"/>
      <c r="H1" s="137"/>
      <c r="I1" s="138"/>
      <c r="J1" s="139"/>
      <c r="K1" s="131"/>
      <c r="L1" s="131"/>
      <c r="M1" s="131"/>
      <c r="N1" s="131"/>
      <c r="O1" s="131"/>
      <c r="P1" s="126"/>
      <c r="AF1" s="133"/>
      <c r="AG1" s="133"/>
      <c r="AH1" s="133"/>
      <c r="AI1" s="133"/>
      <c r="AJ1" s="133"/>
    </row>
    <row r="2" spans="1:38" s="132" customFormat="1" x14ac:dyDescent="0.25">
      <c r="A2" s="134"/>
      <c r="B2" s="126"/>
      <c r="C2" s="195"/>
      <c r="D2" s="195"/>
      <c r="E2" s="194"/>
      <c r="F2" s="196"/>
      <c r="G2" s="196"/>
      <c r="H2" s="137"/>
      <c r="I2" s="138"/>
      <c r="J2" s="139"/>
      <c r="K2" s="131"/>
      <c r="L2" s="131"/>
      <c r="M2" s="131"/>
      <c r="N2" s="131"/>
      <c r="O2" s="131"/>
      <c r="P2" s="126"/>
      <c r="AF2" s="133"/>
      <c r="AG2" s="133"/>
      <c r="AH2" s="133"/>
      <c r="AI2" s="133"/>
      <c r="AJ2" s="133"/>
    </row>
    <row r="3" spans="1:38" s="132" customFormat="1" ht="30.6" thickBot="1" x14ac:dyDescent="0.55000000000000004">
      <c r="A3" s="140" t="s">
        <v>1</v>
      </c>
      <c r="B3" s="240" t="str">
        <f>'2. MATRIZ DE RIESGOS'!D6</f>
        <v>Gestión Social</v>
      </c>
      <c r="C3" s="240"/>
      <c r="D3" s="240"/>
      <c r="E3" s="197"/>
      <c r="F3" s="198"/>
      <c r="K3" s="467"/>
      <c r="L3" s="467"/>
      <c r="M3" s="467"/>
      <c r="N3" s="467"/>
      <c r="O3" s="467"/>
      <c r="P3" s="467"/>
      <c r="Q3" s="467"/>
      <c r="R3" s="467"/>
      <c r="S3" s="467"/>
      <c r="T3" s="467"/>
      <c r="U3" s="467"/>
      <c r="V3" s="467"/>
      <c r="AF3" s="133"/>
      <c r="AG3" s="133"/>
      <c r="AH3" s="133"/>
      <c r="AI3" s="133"/>
      <c r="AJ3" s="133"/>
    </row>
    <row r="4" spans="1:38" s="132" customFormat="1" ht="13.8" hidden="1" thickBot="1" x14ac:dyDescent="0.3">
      <c r="D4" s="126"/>
      <c r="E4" s="135"/>
      <c r="F4" s="198"/>
      <c r="I4" s="461" t="s">
        <v>487</v>
      </c>
      <c r="J4" s="462"/>
      <c r="K4" s="462"/>
      <c r="L4" s="462"/>
      <c r="M4" s="462"/>
      <c r="N4" s="462"/>
      <c r="O4" s="463"/>
      <c r="R4" s="143"/>
      <c r="S4" s="144"/>
      <c r="T4" s="468" t="s">
        <v>469</v>
      </c>
      <c r="U4" s="469"/>
      <c r="V4" s="469"/>
      <c r="W4" s="469"/>
      <c r="X4" s="470"/>
      <c r="AF4" s="133"/>
      <c r="AG4" s="133"/>
      <c r="AH4" s="133"/>
      <c r="AI4" s="133"/>
      <c r="AJ4" s="133"/>
    </row>
    <row r="5" spans="1:38" x14ac:dyDescent="0.3">
      <c r="A5" s="199"/>
      <c r="B5" s="199"/>
      <c r="C5" s="148"/>
      <c r="D5" s="199"/>
      <c r="E5" s="455" t="s">
        <v>488</v>
      </c>
      <c r="F5" s="455"/>
      <c r="G5" s="455"/>
      <c r="H5" s="148"/>
      <c r="I5" s="149"/>
      <c r="J5" s="150"/>
      <c r="K5" s="453" t="s">
        <v>469</v>
      </c>
      <c r="L5" s="453"/>
      <c r="M5" s="453"/>
      <c r="N5" s="453"/>
      <c r="O5" s="454"/>
      <c r="P5" s="148"/>
      <c r="R5" s="151"/>
      <c r="T5" s="153">
        <v>0.2</v>
      </c>
      <c r="U5" s="153">
        <v>0.4</v>
      </c>
      <c r="V5" s="153">
        <v>0.6</v>
      </c>
      <c r="W5" s="153">
        <v>0.8</v>
      </c>
      <c r="X5" s="154">
        <v>1</v>
      </c>
      <c r="Y5" s="155"/>
      <c r="Z5" s="155"/>
      <c r="AA5" s="155"/>
      <c r="AB5" s="155"/>
      <c r="AC5" s="155"/>
      <c r="AD5" s="155"/>
      <c r="AE5" s="155"/>
    </row>
    <row r="6" spans="1:38" ht="40.200000000000003" customHeight="1" x14ac:dyDescent="0.25">
      <c r="A6" s="147" t="s">
        <v>489</v>
      </c>
      <c r="B6" s="147" t="s">
        <v>472</v>
      </c>
      <c r="C6" s="147" t="s">
        <v>134</v>
      </c>
      <c r="D6" s="147" t="s">
        <v>136</v>
      </c>
      <c r="E6" s="147" t="s">
        <v>478</v>
      </c>
      <c r="F6" s="147" t="s">
        <v>469</v>
      </c>
      <c r="G6" s="147" t="s">
        <v>490</v>
      </c>
      <c r="H6" s="148"/>
      <c r="I6" s="151"/>
      <c r="J6" s="160"/>
      <c r="K6" s="161" t="s">
        <v>476</v>
      </c>
      <c r="L6" s="161" t="s">
        <v>477</v>
      </c>
      <c r="M6" s="161" t="s">
        <v>15</v>
      </c>
      <c r="N6" s="161" t="s">
        <v>274</v>
      </c>
      <c r="O6" s="162" t="s">
        <v>417</v>
      </c>
      <c r="P6" s="148"/>
      <c r="R6" s="151"/>
      <c r="S6" s="163"/>
      <c r="T6" s="164" t="s">
        <v>476</v>
      </c>
      <c r="U6" s="164" t="s">
        <v>477</v>
      </c>
      <c r="V6" s="164" t="s">
        <v>15</v>
      </c>
      <c r="W6" s="164" t="s">
        <v>274</v>
      </c>
      <c r="X6" s="165" t="s">
        <v>417</v>
      </c>
      <c r="AA6" s="155"/>
      <c r="AB6" s="155"/>
      <c r="AC6" s="166"/>
      <c r="AD6" s="166"/>
      <c r="AE6" s="166"/>
      <c r="AF6" s="166"/>
      <c r="AG6" s="166"/>
      <c r="AH6" s="166"/>
      <c r="AI6" s="166"/>
      <c r="AJ6" s="166"/>
      <c r="AK6" s="166"/>
      <c r="AL6" s="166"/>
    </row>
    <row r="7" spans="1:38" ht="99" customHeight="1" x14ac:dyDescent="0.25">
      <c r="A7" s="167" t="str">
        <f>'2. MATRIZ DE RIESGOS'!A15</f>
        <v>GS6</v>
      </c>
      <c r="B7" s="168" t="str">
        <f>'2. MATRIZ DE RIESGOS'!G15</f>
        <v>Posibilidad de afectación reputacional del Insituto reflejada en la  insatisfacción de la comunidad respecto a la falta de acompañamiento para favorecer la adaptación al nuevo hábitat y lograr una mejor convivencia en los proyectos habitacionales que desarrolla el Instituto de acuerdo a la ley de propiedad horizontal. Lo anterior, debido a que no se cumple con las actividades de acompañamiento social a copropiedades programadas para la vigencia, y a que las actividades de acompañamiento no se relizan de acuerdo con los protocolos y guías metodológicas.</v>
      </c>
      <c r="C7" s="200">
        <f>'2. MATRIZ DE RIESGOS'!AE15</f>
        <v>1.5676415999999999E-2</v>
      </c>
      <c r="D7" s="169">
        <f>'2. MATRIZ DE RIESGOS'!AG15</f>
        <v>0.6</v>
      </c>
      <c r="E7" s="201" t="str">
        <f t="shared" ref="E7:E26" si="0">+IF(C7=0,"",IF(C7&lt;=$R$11,$S$11,IF(C7&lt;=$R$10,$S$10,IF(C7&lt;=$R$9,$S$9,IF(C7&lt;=$R$8,$S$8,IF(C7&lt;=$R$7,$S$7,""))))))</f>
        <v>Muy Baja</v>
      </c>
      <c r="F7" s="201" t="str">
        <f t="shared" ref="F7:F26" si="1">+IF(D7=0,"",IF(D7&lt;=$T$5,$T$6,IF(D7&lt;=$U$5,$U$6,IF(D7&lt;=$V$5,$V$6,IF(D7&lt;=$W$5,$W$6,IF(D7&lt;=$X$5,$X$6,""))))))</f>
        <v>Moderado</v>
      </c>
      <c r="G7" s="168" t="str">
        <f t="shared" ref="G7:G26" si="2">+IF(E7=$S$7,IF(F7=$T$6,$T$7,IF(F7=$U$6,$U$7,IF(F7=$V$6,$V$7,IF(F7=$W$6,$W$7,IF(F7=$X$6,$X$7))))),IF(E7=$S$8,IF(F7=$T$6,$T$8,IF(F7=$U$6,$U$8,IF(F7=$V$6,$V$8,IF(F7=$W$6,$W$8,IF(F7=$X$6,$X$8))))),IF(E7=$S$9,IF(F7=$T$6,$T$9,IF(F7=$U$6,$U$9,IF(F7=$V$6,$V$9,IF(F7=$W$6,$W$9,IF(F7=$X$6,$X$9))))),IF(E7=$S$10,IF(F7=$T$6,$T$10,IF(F7=$U$6,$U$10,IF(F7=$V$6,$V$10,IF(F7=$W$6,$W$10,IF(F7=$X$6,$X$10))))),IF(E7=$S$11,IF(F7=$T$6,$T$11,IF(F7=$U$6,$U$11,IF(F7=$V$6,$V$11,IF(F7=$W$6,$W$11,IF(F7=$X$6,$X$11))))),"")))))</f>
        <v>Moderado</v>
      </c>
      <c r="H7" s="170"/>
      <c r="I7" s="456" t="s">
        <v>478</v>
      </c>
      <c r="J7" s="161" t="s">
        <v>479</v>
      </c>
      <c r="K7" s="171" t="str">
        <f>+IF(AND(E7=$S$7,F7=$T$6),A7,"")&amp;" "&amp;IF(AND(E8=$S$7,F8=$T$6),A8,"")&amp;" "&amp;IF(AND(E9=$S$7,F9=$T$6),A9,"")&amp;" "&amp;IF(AND(E10=$S$7,F10=$T$6),A10,"")&amp;" "&amp;IF(AND(E11=$S$7,F11=$T$6),A11,"")&amp;" "&amp;IF(AND(E12=$S$7,F12=$T$6),A12,"")&amp;" "&amp;IF(AND(E13=$S$7,F13=$T$6),A13,"")&amp;" "&amp;IF(AND(E14=$S$7,F14=$T$6),A14,"")&amp;" "&amp;IF(AND(E15=$S$7,F15=$T$6),A15,"")&amp;" "&amp;IF(AND(E16=$S$7,F16=$T$6),A16,"")&amp;" "&amp;IF(AND(E17=$S$7,F17=$T$6),A17,"")&amp;" "&amp;IF(AND(E18=$S$7,F18=$T$6),A18,"")&amp;" "&amp;IF(AND(E19=$S$7,F19=$T$6),A19,"")&amp;" "&amp;IF(AND(E20=$S$7,F20=$T$6),A20,"")&amp;" "&amp;IF(AND(E21=$S$7,F21=$T$6),A21,"")&amp;" "&amp;IF(AND(E22=$S$7,F22=$T$6),A22,"")&amp;" "&amp;IF(AND(E23=$S$7,F23=$T$6),A23,"")&amp;" "&amp;IF(AND(E24=$S$7,F24=$T$6),A24,"")&amp;" "&amp;IF(AND(E25=$S$7,F25=$T$6),A25,"")&amp;" "&amp;IF(AND(E26=$S$7,F26=$T$6),A26,"")</f>
        <v xml:space="preserve">                   </v>
      </c>
      <c r="L7" s="171" t="str">
        <f>+IF(AND(E7=$S$7,F7=$U$6),A7,"")&amp;" "&amp;IF(AND(E8=$S$7,F8=$U$6),A8,"")&amp;" "&amp;IF(AND(E9=$S$7,F9=$U$6),A9,"")&amp;" "&amp;IF(AND(E10=$S$7,F10=$U$6),A10,"")&amp;" "&amp;IF(AND(E11=$S$7,F11=$U$6),A11,"")&amp;" "&amp;IF(AND(E12=$S$7,F12=$U$6),A12,"")&amp;" "&amp;IF(AND(E13=$S$7,F13=$U$6),A13,"")&amp;" "&amp;IF(AND(E14=$S$7,F14=$U$6),A14,"")&amp;" "&amp;IF(AND(E15=$S$7,F15=$U$6),A15,"")&amp;" "&amp;IF(AND(E16=$S$7,F16=$U$6),A16,"")&amp;" "&amp;IF(AND(E17=$S$7,F17=$U$6),A17,"")&amp;" "&amp;IF(AND(E18=$S$7,F18=$U$6),A18,"")&amp;" "&amp;IF(AND(E19=$S$7,F19=$U$6),A19,"")&amp;" "&amp;IF(AND(E20=$S$7,F20=$U$6),A20,"")&amp;" "&amp;IF(AND(E21=$S$7,F21=$U$6),A21,"")&amp;" "&amp;IF(AND(E22=$S$7,F22=$U$6),A22,"")&amp;" "&amp;IF(AND(E23=$S$7,F23=$U$6),A23,"")&amp;" "&amp;IF(AND(E24=$S$7,F24=$U$6),A24,"")&amp;" "&amp;IF(AND(E25=$S$7,F25=$U$6),A25,"")&amp;" "&amp;IF(AND(E26=$S$7,F26=$U$6),A26,"")</f>
        <v xml:space="preserve">                   </v>
      </c>
      <c r="M7" s="171" t="str">
        <f>+IF(AND(E7=$S$7,F7=$V$6),A7,"")&amp;" "&amp;IF(AND(E8=$S$7,F8=$V$6),A8,"")&amp;" "&amp;IF(AND(E9=$S$7,F9=$V$6),A9,"")&amp;" "&amp;IF(AND(E10=$S$7,F10=$V$6),A10,"")&amp;" "&amp;IF(AND(E11=$S$7,F11=$V$6),A11,"")&amp;" "&amp;IF(AND(E12=$S$7,F12=$V$6),A12,"")&amp;" "&amp;IF(AND(E13=$S$7,F13=$V$6),A13,"")&amp;" "&amp;IF(AND(E14=$S$7,F14=$V$6),A14,"")&amp;" "&amp;IF(AND(E15=$S$7,F15=$V$6),A15,"")&amp;" "&amp;IF(AND(E16=$S$7,F16=$V$6),A16,"")&amp;" "&amp;IF(AND(E17=$S$7,F17=$V$6),A17,"")&amp;" "&amp;IF(AND(E18=$S$7,F18=$V$6),A18,"")&amp;" "&amp;IF(AND(E19=$S$7,F19=$V$6),A19,"")&amp;" "&amp;IF(AND(E20=$S$7,F20=$V$6),A20,"")&amp;" "&amp;IF(AND(E21=$S$7,F21=$V$6),A21,"")&amp;" "&amp;IF(AND(E22=$S$7,F22=$V$6),A22,"")&amp;" "&amp;IF(AND(E23=$S$7,F23=$V$6),A23,"")&amp;" "&amp;IF(AND(E24=$S$7,F24=$V$6),A24,"")&amp;" "&amp;IF(AND(E25=$S$7,F25=$V$6),A25,"")&amp;" "&amp;IF(AND(E26=$S$7,F26=$V$6),A26,"")</f>
        <v xml:space="preserve">                   </v>
      </c>
      <c r="N7" s="171" t="str">
        <f>+IF(AND(E7=$S$7,F7=$W$6),A7,"")&amp;" "&amp;IF(AND(E8=$S$7,F8=$W$6),A8,"")&amp;" "&amp;IF(AND(E9=$S$7,F9=$W$6),A9,"")&amp;" "&amp;IF(AND(E10=$S$7,F10=$W$6),A10,"")&amp;" "&amp;IF(AND(E11=$S$7,F11=$W$6),A11,"")&amp;" "&amp;IF(AND(E12=$S$7,F12=$W$6),A12,"")&amp;" "&amp;IF(AND(E13=$S$7,F13=$W$6),A13,"")&amp;" "&amp;IF(AND(E14=$S$7,F14=$W$6),A14,"")&amp;" "&amp;IF(AND(E15=$S$7,F15=$W$6),A15,"")&amp;" "&amp;IF(AND(E16=$S$7,F16=$W$6),A16,"")&amp;" "&amp;IF(AND(E17=$S$7,F17=$W$6),A17,"")&amp;" "&amp;IF(AND(E18=$S$7,F18=$W$6),A18,"")&amp;" "&amp;IF(AND(E19=$S$7,F19=$W$6),A19,"")&amp;" "&amp;IF(AND(E20=$S$7,F20=$W$6),A20,"")&amp;" "&amp;IF(AND(E21=$S$7,F21=$W$6),A21,"")&amp;" "&amp;IF(AND(E22=$S$7,F22=$W$6),A22,"")&amp;" "&amp;IF(AND(E23=$S$7,F23=$W$6),A23,"")&amp;" "&amp;IF(AND(E24=$S$7,F24=$W$6),A24,"")&amp;" "&amp;IF(AND(E25=$S$7,F25=$W$6),A25,"")&amp;" "&amp;IF(AND(E26=$S$7,F26=$W$6),A26,"")</f>
        <v xml:space="preserve">                   </v>
      </c>
      <c r="O7" s="172" t="str">
        <f>+IF(AND(E7=$S$7,F7=$X$6),A7,"")&amp;" "&amp;IF(AND(E8=$S$7,F8=$X$6),A8,"")&amp;" "&amp;IF(AND(E9=$S$7,F9=$X$6),A9,"")&amp;" "&amp;IF(AND(E10=$S$7,F10=$X$6),A10,"")&amp;" "&amp;IF(AND(E11=$S$7,F11=$X$6),A11,"")&amp;" "&amp;IF(AND(E12=$S$7,F12=$X$6),A12,"")&amp;" "&amp;IF(AND(E13=$S$7,F13=$X$6),A13,"")&amp;" "&amp;IF(AND(E14=$S$7,F14=$X$6),A14,"")&amp;" "&amp;IF(AND(E15=$S$7,F15=$X$6),A15,"")&amp;" "&amp;IF(AND(E16=$S$7,F16=$X$6),A16,"")&amp;" "&amp;IF(AND(E17=$S$7,F17=$X$6),A17,"")&amp;" "&amp;IF(AND(E18=$S$7,F18=$X$6),A18,"")&amp;" "&amp;IF(AND(E19=$S$7,F19=$X$6),A19,"")&amp;" "&amp;IF(AND(E20=$S$7,F20=$X$6),A20,"")&amp;" "&amp;IF(AND(E21=$S$7,F21=$X$6),A21,"")&amp;" "&amp;IF(AND(E22=$S$7,F22=$X$6),A22,"")&amp;" "&amp;IF(AND(E23=$S$7,F23=$X$6),A23,"")&amp;" "&amp;IF(AND(E24=$S$7,F24=$X$6),A24,"")&amp;" "&amp;IF(AND(E25=$S$7,F25=$X$6),A25,"")&amp;" "&amp;IF(AND(E26=$S$7,F26=$X$6),A26,"")</f>
        <v xml:space="preserve">                   </v>
      </c>
      <c r="P7" s="170"/>
      <c r="Q7" s="464" t="s">
        <v>478</v>
      </c>
      <c r="R7" s="173">
        <v>1</v>
      </c>
      <c r="S7" s="164" t="s">
        <v>479</v>
      </c>
      <c r="T7" s="171" t="s">
        <v>13</v>
      </c>
      <c r="U7" s="171" t="s">
        <v>13</v>
      </c>
      <c r="V7" s="171" t="s">
        <v>13</v>
      </c>
      <c r="W7" s="171" t="s">
        <v>13</v>
      </c>
      <c r="X7" s="172" t="s">
        <v>11</v>
      </c>
      <c r="AA7" s="155"/>
      <c r="AB7" s="155"/>
      <c r="AC7" s="166"/>
      <c r="AD7" s="166"/>
      <c r="AE7" s="166"/>
      <c r="AF7" s="174"/>
      <c r="AG7" s="174"/>
      <c r="AH7" s="174"/>
      <c r="AI7" s="174"/>
      <c r="AJ7" s="174"/>
      <c r="AK7" s="166"/>
      <c r="AL7" s="166"/>
    </row>
    <row r="8" spans="1:38" ht="117" customHeight="1" x14ac:dyDescent="0.25">
      <c r="A8" s="167" t="str">
        <f>'2. MATRIZ DE RIESGOS'!A23</f>
        <v>GS8</v>
      </c>
      <c r="B8" s="168" t="str">
        <f>'2. MATRIZ DE RIESGOS'!G23</f>
        <v>Posibilidad de afectación económica y reputacional del Instituto reflejada en la indebida asignación del Subsidio Distrital de Arrendamiento Temporal (detrimento  patrimonial), en hallazgos disciplinarios y penales por parte de los entes de control, así como en el costo social (perdida del derecho) asociado a la perdida de la oportunidad para la asignación del Subsidio Distrital de Arrendamiento Temporal - SDAT a hogares que cumplen con los requisitos legales.
Lo anterior, debido a la asignación / destinación del Subsidio Distrital de Arrendamiento Temporal - SDAT sin el cumplimiento de los requisitos legales.</v>
      </c>
      <c r="C8" s="200">
        <f>'2. MATRIZ DE RIESGOS'!AE23</f>
        <v>0.10367999999999998</v>
      </c>
      <c r="D8" s="169">
        <f>'2. MATRIZ DE RIESGOS'!AG23</f>
        <v>0.6</v>
      </c>
      <c r="E8" s="201" t="str">
        <f t="shared" si="0"/>
        <v>Muy Baja</v>
      </c>
      <c r="F8" s="201" t="str">
        <f t="shared" si="1"/>
        <v>Moderado</v>
      </c>
      <c r="G8" s="168" t="str">
        <f t="shared" si="2"/>
        <v>Moderado</v>
      </c>
      <c r="H8" s="170"/>
      <c r="I8" s="456"/>
      <c r="J8" s="161" t="s">
        <v>157</v>
      </c>
      <c r="K8" s="175" t="str">
        <f>+IF(AND(E7=$S$8,F7=$T$6),A7,"")&amp;" "&amp;IF(AND(E8=$S$8,F8=$T$6),A8,"")&amp;" "&amp;IF(AND(E9=$S$8,F9=$T$6),A9,"")&amp;" "&amp;IF(AND(E10=$S$8,F10=$T$6),A10,"")&amp;" "&amp;IF(AND(E11=$S$8,F11=$T$6),A11,"")&amp;" "&amp;IF(AND(E12=$S$8,F12=$T$6),A12,"")&amp;" "&amp;IF(AND(E13=$S$8,F13=$T$6),A13,"")&amp;" "&amp;IF(AND(E14=$S$8,F14=$T$6),A14,"")&amp;" "&amp;IF(AND(E15=$S$8,F15=$T$6),A15,"")&amp;" "&amp;IF(AND(E16=$S$8,F16=$T$6),A16,"")&amp;" "&amp;IF(AND(E17=$S$8,F17=$T$6),A17,"")&amp;" "&amp;IF(AND(E18=$S$8,F18=$T$6),A18,"")&amp;" "&amp;IF(AND(E19=$S$8,F19=$T$6),A19,"")&amp;" "&amp;IF(AND(E20=$S$8,F20=$T$6),A20,"")&amp;" "&amp;IF(AND(E21=$S$8,F21=$T$6),A21,"")&amp;" "&amp;IF(AND(E22=$S$8,F22=$T$6),A22,"")&amp;" "&amp;IF(AND(E23=$S$8,F23=$T$6),A23,"")&amp;" "&amp;IF(AND(E24=$S$8,F24=$T$6),A24,"")&amp;" "&amp;IF(AND(E25=$S$8,F25=$T$6),A25,"")&amp;" "&amp;IF(AND(E26=$S$8,F26=$T$6),A26,"")</f>
        <v xml:space="preserve">                   </v>
      </c>
      <c r="L8" s="175" t="str">
        <f>+IF(AND(E7=$S$8,F7=$U$6),A7,"")&amp;" "&amp;IF(AND(E8=$S$8,F8=$U$6),A8,"")&amp;" "&amp;IF(AND(E9=$S$8,F9=$U$6),A9,"")&amp;" "&amp;IF(AND(E10=$S$8,F10=$U$6),A10,"")&amp;" "&amp;IF(AND(E11=$S$8,F11=$U$6),A11,"")&amp;" "&amp;IF(AND(E12=$S$8,F12=$U$6),A12,"")&amp;" "&amp;IF(AND(E13=$S$8,F13=$U$6),A13,"")&amp;" "&amp;IF(AND(E14=$S$8,F14=$U$6),A14,"")&amp;" "&amp;IF(AND(E15=$S$8,F15=$U$6),A15,"")&amp;" "&amp;IF(AND(E16=$S$8,F16=$U$6),A16,"")&amp;" "&amp;IF(AND(E17=$S$8,F17=$U$6),A17,"")&amp;" "&amp;IF(AND(E18=$S$8,F18=$U$6),A18,"")&amp;" "&amp;IF(AND(E19=$S$8,F19=$U$6),A19,"")&amp;" "&amp;IF(AND(E20=$S$8,F20=$U$6),A20,"")&amp;" "&amp;IF(AND(E21=$S$8,F21=$U$6),A21,"")&amp;" "&amp;IF(AND(E22=$S$8,F22=$U$6),A22,"")&amp;" "&amp;IF(AND(E23=$S$8,F23=$U$6),A23,"")&amp;" "&amp;IF(AND(E24=$S$8,F24=$U$6),A24,"")&amp;" "&amp;IF(AND(E25=$S$8,F25=$U$6),A25,"")&amp;" "&amp;IF(AND(E26=$S$8,F26=$U$6),A26,"")</f>
        <v xml:space="preserve">                   </v>
      </c>
      <c r="M8" s="171" t="str">
        <f>+IF(AND(E7=$S$8,F7=$V$6),A7,"")&amp;" "&amp;IF(AND(E8=$S$8,F8=$V$6),A8,"")&amp;" "&amp;IF(AND(E9=$S$8,F9=$V$6),A9,"")&amp;" "&amp;IF(AND(E10=$S$8,F10=$V$6),A10,"")&amp;" "&amp;IF(AND(E11=$S$8,F11=$V$6),A11,"")&amp;" "&amp;IF(AND(E12=$S$8,F12=$V$6),A12,"")&amp;" "&amp;IF(AND(E13=$S$8,F13=$V$6),A13,"")&amp;" "&amp;IF(AND(E14=$S$8,F14=$V$6),A14,"")&amp;" "&amp;IF(AND(E15=$S$8,F15=$V$6),A15,"")&amp;" "&amp;IF(AND(E16=$S$8,F16=$V$6),A16,"")&amp;" "&amp;IF(AND(E17=$S$8,F17=$V$6),A17,"")&amp;" "&amp;IF(AND(E18=$S$8,F18=$V$6),A18,"")&amp;" "&amp;IF(AND(E19=$S$8,F19=$V$6),A19,"")&amp;" "&amp;IF(AND(E20=$S$8,F20=$V$6),A20,"")&amp;" "&amp;IF(AND(E21=$S$8,F21=$V$6),A21,"")&amp;" "&amp;IF(AND(E22=$S$8,F22=$V$6),A22,"")&amp;" "&amp;IF(AND(E23=$S$8,F23=$V$6),A23,"")&amp;" "&amp;IF(AND(E24=$S$8,F24=$V$6),A24,"")&amp;" "&amp;IF(AND(E25=$S$8,F25=$V$6),A25,"")&amp;" "&amp;IF(AND(E26=$S$8,F26=$V$6),A26,"")</f>
        <v xml:space="preserve">                   </v>
      </c>
      <c r="N8" s="171" t="str">
        <f>+IF(AND(E7=$S$8,F7=$W$6),A7,"")&amp;" "&amp;IF(AND(E8=$S$8,F8=$W$6),A8,"")&amp;" "&amp;IF(AND(E9=$S$8,F9=$W$6),A9,"")&amp;" "&amp;IF(AND(E10=$S$8,F10=$W$6),A10,"")&amp;" "&amp;IF(AND(E11=$S$8,F11=$W$6),A11,"")&amp;" "&amp;IF(AND(E12=$S$8,F12=$W$6),A12,"")&amp;" "&amp;IF(AND(E13=$S$8,F13=$W$6),A13,"")&amp;" "&amp;IF(AND(E14=$S$8,F14=$W$6),A14,"")&amp;" "&amp;IF(AND(E15=$S$8,F15=$W$6),A15,"")&amp;" "&amp;IF(AND(E16=$S$8,F16=$W$6),A16,"")&amp;" "&amp;IF(AND(E17=$S$8,F17=$W$6),A17,"")&amp;" "&amp;IF(AND(E18=$S$8,F18=$W$6),A18,"")&amp;" "&amp;IF(AND(E19=$S$8,F19=$W$6),A19,"")&amp;" "&amp;IF(AND(E20=$S$8,F20=$W$6),A20,"")&amp;" "&amp;IF(AND(E21=$S$8,F21=$W$6),A21,"")&amp;" "&amp;IF(AND(E22=$S$8,F22=$W$6),A22,"")&amp;" "&amp;IF(AND(E23=$S$8,F23=$W$6),A23,"")&amp;" "&amp;IF(AND(E24=$S$8,F24=$W$6),A24,"")&amp;" "&amp;IF(AND(E25=$S$8,F25=$W$6),A25,"")&amp;" "&amp;IF(AND(E26=$S$8,F26=$W$6),A26,"")</f>
        <v xml:space="preserve">                   </v>
      </c>
      <c r="O8" s="172" t="str">
        <f>+IF(AND(E7=$S$8,F7=$X$6),A7,"")&amp;" "&amp;IF(AND(E8=$S$8,F8=$X$6),A8,"")&amp;" "&amp;IF(AND(E9=$S$8,F9=$X$6),A9,"")&amp;" "&amp;IF(AND(E10=$S$8,F10=$X$6),A10,"")&amp;" "&amp;IF(AND(E11=$S$8,F11=$X$6),A11,"")&amp;" "&amp;IF(AND(E12=$S$8,F12=$X$6),A12,"")&amp;" "&amp;IF(AND(E13=$S$8,F13=$X$6),A13,"")&amp;" "&amp;IF(AND(E14=$S$8,F14=$X$6),A14,"")&amp;" "&amp;IF(AND(E15=$S$8,F15=$X$6),A15,"")&amp;" "&amp;IF(AND(E16=$S$8,F16=$X$6),A16,"")&amp;" "&amp;IF(AND(E17=$S$8,F17=$X$6),A17,"")&amp;" "&amp;IF(AND(E18=$S$8,F18=$X$6),A18,"")&amp;" "&amp;IF(AND(E19=$S$8,F19=$X$6),A19,"")&amp;" "&amp;IF(AND(E20=$S$8,F20=$X$6),A20,"")&amp;" "&amp;IF(AND(E21=$S$8,F21=$X$6),A21,"")&amp;" "&amp;IF(AND(E22=$S$8,F22=$X$6),A22,"")&amp;" "&amp;IF(AND(E23=$S$8,F23=$X$6),A23,"")&amp;" "&amp;IF(AND(E24=$S$8,F24=$X$6),A24,"")&amp;" "&amp;IF(AND(E25=$S$8,F25=$X$6),A25,"")&amp;" "&amp;IF(AND(E26=$S$8,F26=$X$6),A26,"")</f>
        <v xml:space="preserve">                   </v>
      </c>
      <c r="P8" s="170"/>
      <c r="Q8" s="465"/>
      <c r="R8" s="173">
        <v>0.8</v>
      </c>
      <c r="S8" s="164" t="s">
        <v>157</v>
      </c>
      <c r="T8" s="175" t="s">
        <v>15</v>
      </c>
      <c r="U8" s="175" t="s">
        <v>15</v>
      </c>
      <c r="V8" s="171" t="s">
        <v>13</v>
      </c>
      <c r="W8" s="171" t="s">
        <v>13</v>
      </c>
      <c r="X8" s="172" t="s">
        <v>11</v>
      </c>
      <c r="AA8" s="155"/>
      <c r="AB8" s="155"/>
      <c r="AC8" s="166"/>
      <c r="AD8" s="176"/>
      <c r="AE8" s="177"/>
      <c r="AF8" s="174"/>
      <c r="AG8" s="174"/>
      <c r="AH8" s="174"/>
      <c r="AI8" s="174"/>
      <c r="AJ8" s="174"/>
      <c r="AK8" s="166"/>
      <c r="AL8" s="166"/>
    </row>
    <row r="9" spans="1:38" ht="102" customHeight="1" x14ac:dyDescent="0.25">
      <c r="A9" s="167" t="str">
        <f>'2. MATRIZ DE RIESGOS'!A27</f>
        <v>GS9</v>
      </c>
      <c r="B9" s="168" t="str">
        <f>'2. MATRIZ DE RIESGOS'!G27</f>
        <v>Posibilidad de afectación económica y reputacional reflejada en el pago indebido del Subsidio Distrital de Arrendamiento Temporal, en la pérdida de oportunidad para disfrutar dicho subsidio a otros hogares que cumplen con los requistos y por hallazgos de los entes de control.
Lo anterior, debido al desembolso del recurso  sin el cumplimiento de requisitos, durante el tiempo en que el beneficiario tiene la asignación del subsidio, asi como por errores en los pagos por parte del operador de arrendamiento temporal (pagos dobles, pagos por valores distintos a los obligados, realización de pagos sin disponibilidad de recursos, etc.).</v>
      </c>
      <c r="C9" s="200">
        <f>'2. MATRIZ DE RIESGOS'!AE27</f>
        <v>8.4671999999999997E-2</v>
      </c>
      <c r="D9" s="169">
        <f>'2. MATRIZ DE RIESGOS'!AG27</f>
        <v>0.44999999999999996</v>
      </c>
      <c r="E9" s="201" t="str">
        <f t="shared" si="0"/>
        <v>Muy Baja</v>
      </c>
      <c r="F9" s="201" t="str">
        <f t="shared" si="1"/>
        <v>Moderado</v>
      </c>
      <c r="G9" s="168" t="str">
        <f t="shared" si="2"/>
        <v>Moderado</v>
      </c>
      <c r="H9" s="170"/>
      <c r="I9" s="456"/>
      <c r="J9" s="161" t="s">
        <v>255</v>
      </c>
      <c r="K9" s="175" t="str">
        <f>+IF(AND(E7=$S$9,F7=$T$6),A7,"")&amp;" "&amp;IF(AND(E8=$S$9,F8=$T$6),A8,"")&amp;" "&amp;IF(AND(E9=$S$9,F9=$T$6),A9,"")&amp;" "&amp;IF(AND(E10=$S$9,F10=$T$6),A10,"")&amp;" "&amp;IF(AND(E11=$S$9,F11=$T$6),A11,"")&amp;" "&amp;IF(AND(E12=$S$9,F12=$T$6),A12,"")&amp;" "&amp;IF(AND(E13=$S$9,F13=$T$6),A13,"")&amp;" "&amp;IF(AND(E14=$S$9,F14=$T$6),A14,"")&amp;" "&amp;IF(AND(E15=$S$9,F15=$T$6),A15,"")&amp;" "&amp;IF(AND(E16=$S$9,F16=$T$6),A16,"")&amp;" "&amp;IF(AND(E17=$S$9,F17=$T$6),A17,"")&amp;" "&amp;IF(AND(E18=$S$9,F18=$T$6),A18,"")&amp;" "&amp;IF(AND(E19=$S$9,F19=$T$6),A19,"")&amp;" "&amp;IF(AND(E20=$S$9,F20=$T$6),A20,"")&amp;" "&amp;IF(AND(E21=$S$9,F21=$T$6),A21,"")&amp;" "&amp;IF(AND(E22=$S$9,F22=$T$6),A22,"")&amp;" "&amp;IF(AND(E23=$S$9,F23=$T$6),A23,"")&amp;" "&amp;IF(AND(E24=$S$9,F24=$T$6),A24,"")&amp;" "&amp;IF(AND(E25=$S$9,F25=$T$6),A25,"")&amp;" "&amp;IF(AND(E26=$S$9,F26=$T$6),A26,"")</f>
        <v xml:space="preserve">                   </v>
      </c>
      <c r="L9" s="175" t="str">
        <f>+IF(AND(E7=$S$9,F7=$U$6),A7,"")&amp;" "&amp;IF(AND(E8=$S$9,F8=$U$6),A8,"")&amp;" "&amp;IF(AND(E9=$S$9,F9=$U$6),A9,"")&amp;" "&amp;IF(AND(E10=$S$9,F10=$U$6),A10,"")&amp;" "&amp;IF(AND(E11=$S$9,F11=$U$6),A11,"")&amp;" "&amp;IF(AND(E12=$S$9,F12=$U$6),A12,"")&amp;" "&amp;IF(AND(E13=$S$9,F13=$U$6),A13,"")&amp;" "&amp;IF(AND(E14=$S$9,F14=$U$6),A14,"")&amp;" "&amp;IF(AND(E15=$S$9,F15=$U$6),A15,"")&amp;" "&amp;IF(AND(E16=$S$9,F16=$U$6),A16,"")&amp;" "&amp;IF(AND(E17=$S$9,F17=$U$6),A17,"")&amp;" "&amp;IF(AND(E18=$S$9,F18=$U$6),A18,"")&amp;" "&amp;IF(AND(E19=$S$9,F19=$U$6),A19,"")&amp;" "&amp;IF(AND(E20=$S$9,F20=$U$6),A20,"")&amp;" "&amp;IF(AND(E21=$S$9,F21=$U$6),A21,"")&amp;" "&amp;IF(AND(E22=$S$9,F22=$U$6),A22,"")&amp;" "&amp;IF(AND(E23=$S$9,F23=$U$6),A23,"")&amp;" "&amp;IF(AND(E24=$S$9,F24=$U$6),A24,"")&amp;" "&amp;IF(AND(E25=$S$9,F25=$U$6),A25,"")&amp;" "&amp;IF(AND(E26=$S$9,F26=$U$6),A26,"")</f>
        <v xml:space="preserve">       GS17            </v>
      </c>
      <c r="M9" s="175" t="str">
        <f>+IF(AND(E7=$S$9,F7=$V$6),A7,"")&amp;" "&amp;IF(AND(E8=$S$9,F8=$V$6),A8,"")&amp;" "&amp;IF(AND(E9=$S$9,F9=$V$6),A9,"")&amp;" "&amp;IF(AND(E10=$S$9,F10=$V$6),A10,"")&amp;" "&amp;IF(AND(E11=$S$9,F11=$V$6),A11,"")&amp;" "&amp;IF(AND(E12=$S$9,F12=$V$6),A12,"")&amp;" "&amp;IF(AND(E13=$S$9,F13=$V$6),A13,"")&amp;" "&amp;IF(AND(E14=$S$9,F14=$V$6),A14,"")&amp;" "&amp;IF(AND(E15=$S$9,F15=$V$6),A15,"")&amp;" "&amp;IF(AND(E16=$S$9,F16=$V$6),A16,"")&amp;" "&amp;IF(AND(E17=$S$9,F17=$V$6),A17,"")&amp;" "&amp;IF(AND(E18=$S$9,F18=$V$6),A18,"")&amp;" "&amp;IF(AND(E19=$S$9,F19=$V$6),A19,"")&amp;" "&amp;IF(AND(E20=$S$9,F20=$V$6),A20,"")&amp;" "&amp;IF(AND(E21=$S$9,F21=$V$6),A21,"")&amp;" "&amp;IF(AND(E22=$S$9,F22=$V$6),A22,"")&amp;" "&amp;IF(AND(E23=$S$9,F23=$V$6),A23,"")&amp;" "&amp;IF(AND(E24=$S$9,F24=$V$6),A24,"")&amp;" "&amp;IF(AND(E25=$S$9,F25=$V$6),A25,"")&amp;" "&amp;IF(AND(E26=$S$9,F26=$V$6),A26,"")</f>
        <v xml:space="preserve">            GS20       </v>
      </c>
      <c r="N9" s="171" t="str">
        <f>+IF(AND(E7=$S$9,F7=$W$6),A7,"")&amp;" "&amp;IF(AND(E8=$S$9,F8=$W$6),A8,"")&amp;" "&amp;IF(AND(E9=$S$9,F9=$W$6),A9,"")&amp;" "&amp;IF(AND(E10=$S$9,F10=$W$6),A10,"")&amp;" "&amp;IF(AND(E11=$S$9,F11=$W$6),A11,"")&amp;" "&amp;IF(AND(E12=$S$9,F12=$W$6),A12,"")&amp;" "&amp;IF(AND(E13=$S$9,F13=$W$6),A13,"")&amp;" "&amp;IF(AND(E14=$S$9,F14=$W$6),A14,"")&amp;" "&amp;IF(AND(E15=$S$9,F15=$W$6),A15,"")&amp;" "&amp;IF(AND(E16=$S$9,F16=$W$6),A16,"")&amp;" "&amp;IF(AND(E17=$S$9,F17=$W$6),A17,"")&amp;" "&amp;IF(AND(E18=$S$9,F18=$W$6),A18,"")&amp;" "&amp;IF(AND(E19=$S$9,F19=$W$6),A19,"")&amp;" "&amp;IF(AND(E20=$S$9,F20=$W$6),A20,"")&amp;" "&amp;IF(AND(E21=$S$9,F21=$W$6),A21,"")&amp;" "&amp;IF(AND(E22=$S$9,F22=$W$6),A22,"")&amp;" "&amp;IF(AND(E23=$S$9,F23=$W$6),A23,"")&amp;" "&amp;IF(AND(E24=$S$9,F24=$W$6),A24,"")&amp;" "&amp;IF(AND(E25=$S$9,F25=$W$6),A25,"")&amp;" "&amp;IF(AND(E26=$S$9,F26=$W$6),A26,"")</f>
        <v xml:space="preserve">                   </v>
      </c>
      <c r="O9" s="172" t="str">
        <f>+IF(AND(E7=$S$9,F7=$X$6),A7,"")&amp;" "&amp;IF(AND(E8=$S$9,F8=$X$6),A8,"")&amp;" "&amp;IF(AND(E9=$S$9,F9=$X$6),A9,"")&amp;" "&amp;IF(AND(E10=$S$9,F10=$X$6),A10,"")&amp;" "&amp;IF(AND(E11=$S$9,F11=$X$6),A11,"")&amp;" "&amp;IF(AND(E12=$S$9,F12=$X$6),A12,"")&amp;" "&amp;IF(AND(E13=$S$9,F13=$X$6),A13,"")&amp;" "&amp;IF(AND(E14=$S$9,F14=$X$6),A14,"")&amp;" "&amp;IF(AND(E15=$S$9,F15=$X$6),A15,"")&amp;" "&amp;IF(AND(E16=$S$9,F16=$X$6),A16,"")&amp;" "&amp;IF(AND(E17=$S$9,F17=$X$6),A17,"")&amp;" "&amp;IF(AND(E18=$S$9,F18=$X$6),A18,"")&amp;" "&amp;IF(AND(E19=$S$9,F19=$X$6),A19,"")&amp;" "&amp;IF(AND(E20=$S$9,F20=$X$6),A20,"")&amp;" "&amp;IF(AND(E21=$S$9,F21=$X$6),A21,"")&amp;" "&amp;IF(AND(E22=$S$9,F22=$X$6),A22,"")&amp;" "&amp;IF(AND(E23=$S$9,F23=$X$6),A23,"")&amp;" "&amp;IF(AND(E24=$S$9,F24=$X$6),A24,"")&amp;" "&amp;IF(AND(E25=$S$9,F25=$X$6),A25,"")&amp;" "&amp;IF(AND(E26=$S$9,F26=$X$6),A26,"")</f>
        <v xml:space="preserve">                   </v>
      </c>
      <c r="P9" s="170"/>
      <c r="Q9" s="465"/>
      <c r="R9" s="173">
        <v>0.6</v>
      </c>
      <c r="S9" s="164" t="s">
        <v>255</v>
      </c>
      <c r="T9" s="175" t="s">
        <v>15</v>
      </c>
      <c r="U9" s="175" t="s">
        <v>15</v>
      </c>
      <c r="V9" s="175" t="s">
        <v>15</v>
      </c>
      <c r="W9" s="171" t="s">
        <v>13</v>
      </c>
      <c r="X9" s="172" t="s">
        <v>11</v>
      </c>
      <c r="AA9" s="155"/>
      <c r="AB9" s="155"/>
      <c r="AC9" s="166"/>
      <c r="AD9" s="176"/>
      <c r="AE9" s="177"/>
      <c r="AF9" s="174"/>
      <c r="AG9" s="174"/>
      <c r="AH9" s="174"/>
      <c r="AI9" s="174"/>
      <c r="AJ9" s="178"/>
      <c r="AK9" s="166"/>
      <c r="AL9" s="166"/>
    </row>
    <row r="10" spans="1:38" ht="118.95" customHeight="1" x14ac:dyDescent="0.25">
      <c r="A10" s="167" t="str">
        <f>'2. MATRIZ DE RIESGOS'!A33</f>
        <v>GS10</v>
      </c>
      <c r="B10" s="168" t="str">
        <f>'2. MATRIZ DE RIESGOS'!G33</f>
        <v>Posibilidad de afectación reputacional del Instituto reflejada en la existencia de las PQRSD y tutelas por parte de la población afectada derivadas de la falta de atención y acompañamiento para lograr una solución de vivienda definitiva. Lo anterior, debido a deficiencias en el acompañamiento social a los hogares priorizados con solución de vivienda definitiva de la población de riesgo, desastre y/o calamidad para la concurrencia de subsidios y recursos.</v>
      </c>
      <c r="C10" s="200">
        <f>'2. MATRIZ DE RIESGOS'!AE33</f>
        <v>0.216</v>
      </c>
      <c r="D10" s="169">
        <f>'2. MATRIZ DE RIESGOS'!AG33</f>
        <v>0.6</v>
      </c>
      <c r="E10" s="201" t="str">
        <f t="shared" si="0"/>
        <v>Baja</v>
      </c>
      <c r="F10" s="201" t="str">
        <f t="shared" si="1"/>
        <v>Moderado</v>
      </c>
      <c r="G10" s="168" t="str">
        <f t="shared" si="2"/>
        <v>Moderado</v>
      </c>
      <c r="H10" s="170"/>
      <c r="I10" s="456"/>
      <c r="J10" s="161" t="s">
        <v>366</v>
      </c>
      <c r="K10" s="179" t="str">
        <f>+IF(AND(E7=$S$10,F7=$T$6),A7,"")&amp;" "&amp;IF(AND(E8=$S$10,F8=$T$6),A8,"")&amp;" "&amp;IF(AND(E9=$S$10,F9=$T$6),A9,"")&amp;" "&amp;IF(AND(E10=$S$10,F10=$T$6),A10,"")&amp;" "&amp;IF(AND(E11=$S$10,F11=$T$6),A11,"")&amp;" "&amp;IF(AND(E12=$S$10,F12=$T$6),A12,"")&amp;" "&amp;IF(AND(E13=$S$10,F13=$T$6),A13,"")&amp;" "&amp;IF(AND(E14=$S$10,F14=$T$6),A14,"")&amp;" "&amp;IF(AND(E15=$S$10,F15=$T$6),A15,"")&amp;" "&amp;IF(AND(E16=$S$10,F16=$T$6),A16,"")&amp;" "&amp;IF(AND(E17=$S$10,F17=$T$6),A17,"")&amp;" "&amp;IF(AND(E18=$S$10,F18=$T$6),A18,"")&amp;" "&amp;IF(AND(E19=$S$10,F19=$T$6),A19,"")&amp;" "&amp;IF(AND(E20=$S$10,F20=$T$6),A20,"")&amp;" "&amp;IF(AND(E21=$S$10,F21=$T$6),A21,"")&amp;" "&amp;IF(AND(E22=$S$10,F22=$T$6),A22,"")&amp;" "&amp;IF(AND(E23=$S$10,F23=$T$6),A23,"")&amp;" "&amp;IF(AND(E24=$S$10,F24=$T$6),A24,"")&amp;" "&amp;IF(AND(E25=$S$10,F25=$T$6),A25,"")&amp;" "&amp;IF(AND(E26=$S$10,F26=$T$6),A26,"")</f>
        <v xml:space="preserve">                   </v>
      </c>
      <c r="L10" s="175" t="str">
        <f>+IF(AND(E7=$S$10,F7=$U$6),A7,"")&amp;" "&amp;IF(AND(E8=$S$10,F8=$U$6),A8,"")&amp;" "&amp;IF(AND(E9=$S$10,F9=$U$6),A9,"")&amp;" "&amp;IF(AND(E10=$S$10,F10=$U$6),A10,"")&amp;" "&amp;IF(AND(E11=$S$10,F11=$U$6),A11,"")&amp;" "&amp;IF(AND(E12=$S$10,F12=$U$6),A12,"")&amp;" "&amp;IF(AND(E13=$S$10,F13=$U$6),A13,"")&amp;" "&amp;IF(AND(E14=$S$10,F14=$U$6),A14,"")&amp;" "&amp;IF(AND(E15=$S$10,F15=$U$6),A15,"")&amp;" "&amp;IF(AND(E16=$S$10,F16=$U$6),A16,"")&amp;" "&amp;IF(AND(E17=$S$10,F17=$U$6),A17,"")&amp;" "&amp;IF(AND(E18=$S$10,F18=$U$6),A18,"")&amp;" "&amp;IF(AND(E19=$S$10,F19=$U$6),A19,"")&amp;" "&amp;IF(AND(E20=$S$10,F20=$U$6),A20,"")&amp;" "&amp;IF(AND(E21=$S$10,F21=$U$6),A21,"")&amp;" "&amp;IF(AND(E22=$S$10,F22=$U$6),A22,"")&amp;" "&amp;IF(AND(E23=$S$10,F23=$U$6),A23,"")&amp;" "&amp;IF(AND(E24=$S$10,F24=$U$6),A24,"")&amp;" "&amp;IF(AND(E25=$S$10,F25=$U$6),A25,"")&amp;" "&amp;IF(AND(E26=$S$10,F26=$U$6),A26,"")</f>
        <v xml:space="preserve">                   </v>
      </c>
      <c r="M10" s="175" t="str">
        <f>+IF(AND(E7=$S$10,F7=$V$6),A7,"")&amp;" "&amp;IF(AND(E8=$S$10,F8=$V$6),A8,"")&amp;" "&amp;IF(AND(E9=$S$10,F9=$V$6),A9,"")&amp;" "&amp;IF(AND(E10=$S$10,F10=$V$6),A10,"")&amp;" "&amp;IF(AND(E11=$S$10,F11=$V$6),A11,"")&amp;" "&amp;IF(AND(E12=$S$10,F12=$V$6),A12,"")&amp;" "&amp;IF(AND(E13=$S$10,F13=$V$6),A13,"")&amp;" "&amp;IF(AND(E14=$S$10,F14=$V$6),A14,"")&amp;" "&amp;IF(AND(E15=$S$10,F15=$V$6),A15,"")&amp;" "&amp;IF(AND(E16=$S$10,F16=$V$6),A16,"")&amp;" "&amp;IF(AND(E17=$S$10,F17=$V$6),A17,"")&amp;" "&amp;IF(AND(E18=$S$10,F18=$V$6),A18,"")&amp;" "&amp;IF(AND(E19=$S$10,F19=$V$6),A19,"")&amp;" "&amp;IF(AND(E20=$S$10,F20=$V$6),A20,"")&amp;" "&amp;IF(AND(E21=$S$10,F21=$V$6),A21,"")&amp;" "&amp;IF(AND(E22=$S$10,F22=$V$6),A22,"")&amp;" "&amp;IF(AND(E23=$S$10,F23=$V$6),A23,"")&amp;" "&amp;IF(AND(E24=$S$10,F24=$V$6),A24,"")&amp;" "&amp;IF(AND(E25=$S$10,F25=$V$6),A25,"")&amp;" "&amp;IF(AND(E26=$S$10,F26=$V$6),A26,"")</f>
        <v xml:space="preserve">   GS10 GS14  GS16  GS19  GS15         </v>
      </c>
      <c r="N10" s="171" t="str">
        <f>+IF(AND(E7=$S$10,F7=$W$6),A7,"")&amp;" "&amp;IF(AND(E8=$S$10,F8=$W$6),A8,"")&amp;" "&amp;IF(AND(E9=$S$10,F9=$W$6),A9,"")&amp;" "&amp;IF(AND(E10=$S$10,F10=$W$6),A10,"")&amp;" "&amp;IF(AND(E11=$S$10,F11=$W$6),A11,"")&amp;" "&amp;IF(AND(E12=$S$10,F12=$W$6),A12,"")&amp;" "&amp;IF(AND(E13=$S$10,F13=$W$6),A13,"")&amp;" "&amp;IF(AND(E14=$S$10,F14=$W$6),A14,"")&amp;" "&amp;IF(AND(E15=$S$10,F15=$W$6),A15,"")&amp;" "&amp;IF(AND(E16=$S$10,F16=$W$6),A16,"")&amp;" "&amp;IF(AND(E17=$S$10,F17=$W$6),A17,"")&amp;" "&amp;IF(AND(E18=$S$10,F18=$W$6),A18,"")&amp;" "&amp;IF(AND(E19=$S$10,F19=$W$6),A19,"")&amp;" "&amp;IF(AND(E20=$S$10,F20=$W$6),A20,"")&amp;" "&amp;IF(AND(E21=$S$10,F21=$W$6),A21,"")&amp;" "&amp;IF(AND(E22=$S$10,F22=$W$6),A22,"")&amp;" "&amp;IF(AND(E23=$S$10,F23=$W$6),A23,"")&amp;" "&amp;IF(AND(E24=$S$10,F24=$W$6),A24,"")&amp;" "&amp;IF(AND(E25=$S$10,F25=$W$6),A25,"")&amp;" "&amp;IF(AND(E26=$S$10,F26=$W$6),A26,"")</f>
        <v xml:space="preserve">                   </v>
      </c>
      <c r="O10" s="172" t="str">
        <f>+IF(AND(E7=$S$10,F7=$X$6),A7,"")&amp;" "&amp;IF(AND(E8=$S$10,F8=$X$6),A8,"")&amp;" "&amp;IF(AND(E9=$S$10,F9=$X$6),A9,"")&amp;" "&amp;IF(AND(E10=$S$10,F10=$X$6),A10,"")&amp;" "&amp;IF(AND(E11=$S$10,F11=$X$6),A11,"")&amp;" "&amp;IF(AND(E12=$S$10,F12=$X$6),A12,"")&amp;" "&amp;IF(AND(E13=$S$10,F13=$X$6),A13,"")&amp;" "&amp;IF(AND(E14=$S$10,F14=$X$6),A14,"")&amp;" "&amp;IF(AND(E15=$S$10,F15=$X$6),A15,"")&amp;" "&amp;IF(AND(E16=$S$10,F16=$X$6),A16,"")&amp;" "&amp;IF(AND(E17=$S$10,F17=$X$6),A17,"")&amp;" "&amp;IF(AND(E18=$S$10,F18=$X$6),A18,"")&amp;" "&amp;IF(AND(E19=$S$10,F19=$X$6),A19,"")&amp;" "&amp;IF(AND(E20=$S$10,F20=$X$6),A20,"")&amp;" "&amp;IF(AND(E21=$S$10,F21=$X$6),A21,"")&amp;" "&amp;IF(AND(E22=$S$10,F22=$X$6),A22,"")&amp;" "&amp;IF(AND(E23=$S$10,F23=$X$6),A23,"")&amp;" "&amp;IF(AND(E24=$S$10,F24=$X$6),A24,"")&amp;" "&amp;IF(AND(E25=$S$10,F25=$X$6),A25,"")&amp;" "&amp;IF(AND(E26=$S$10,F26=$X$6),A26,"")</f>
        <v xml:space="preserve">                   </v>
      </c>
      <c r="P10" s="170"/>
      <c r="Q10" s="465"/>
      <c r="R10" s="173">
        <v>0.4</v>
      </c>
      <c r="S10" s="164" t="s">
        <v>366</v>
      </c>
      <c r="T10" s="179" t="s">
        <v>17</v>
      </c>
      <c r="U10" s="175" t="s">
        <v>15</v>
      </c>
      <c r="V10" s="175" t="s">
        <v>15</v>
      </c>
      <c r="W10" s="171" t="s">
        <v>13</v>
      </c>
      <c r="X10" s="172" t="s">
        <v>11</v>
      </c>
      <c r="AA10" s="155"/>
      <c r="AB10" s="155"/>
      <c r="AC10" s="166"/>
      <c r="AD10" s="176"/>
      <c r="AE10" s="177"/>
      <c r="AF10" s="174"/>
      <c r="AG10" s="174"/>
      <c r="AH10" s="174"/>
      <c r="AI10" s="178"/>
      <c r="AJ10" s="174"/>
      <c r="AK10" s="166"/>
      <c r="AL10" s="166"/>
    </row>
    <row r="11" spans="1:38" ht="93" customHeight="1" thickBot="1" x14ac:dyDescent="0.3">
      <c r="A11" s="167" t="str">
        <f>'2. MATRIZ DE RIESGOS'!A36</f>
        <v>GS14</v>
      </c>
      <c r="B11" s="168" t="str">
        <f>'2. MATRIZ DE RIESGOS'!G36</f>
        <v>Posiblidad de afectación reputacional del Instituto por:
* no garantizar una vivienda digna y segura a los hogares con contrato de arrendamiento temporal.
* Eventos catastróficos relacionados con la ubicación del predio en zonas no aptas.
* PQRSD con relación al mal estado de inmuebles viabilizados para la aplicación de subsidios.
Lo anterior, debido a que no se realice una adecuada revisión técnica y jurídica del inmueble donde se aplicará el SDAT de acuerdo a lo establecido en la normatividad aplicable y el manual para la aplicación del SDAT.</v>
      </c>
      <c r="C11" s="200">
        <f>'2. MATRIZ DE RIESGOS'!AE36</f>
        <v>0.28799999999999998</v>
      </c>
      <c r="D11" s="169">
        <f>'2. MATRIZ DE RIESGOS'!AG36</f>
        <v>0.60000000000000009</v>
      </c>
      <c r="E11" s="201" t="str">
        <f t="shared" ref="E11:E21" si="3">+IF(C11=0,"",IF(C11&lt;=$R$11,$S$11,IF(C11&lt;=$R$10,$S$10,IF(C11&lt;=$R$9,$S$9,IF(C11&lt;=$R$8,$S$8,IF(C11&lt;=$R$7,$S$7,""))))))</f>
        <v>Baja</v>
      </c>
      <c r="F11" s="201" t="str">
        <f t="shared" ref="F11:F21" si="4">+IF(D11=0,"",IF(D11&lt;=$T$5,$T$6,IF(D11&lt;=$U$5,$U$6,IF(D11&lt;=$V$5,$V$6,IF(D11&lt;=$W$5,$W$6,IF(D11&lt;=$X$5,$X$6,""))))))</f>
        <v>Moderado</v>
      </c>
      <c r="G11" s="168" t="str">
        <f t="shared" ref="G11:G21" si="5">+IF(E11=$S$7,IF(F11=$T$6,$T$7,IF(F11=$U$6,$U$7,IF(F11=$V$6,$V$7,IF(F11=$W$6,$W$7,IF(F11=$X$6,$X$7))))),IF(E11=$S$8,IF(F11=$T$6,$T$8,IF(F11=$U$6,$U$8,IF(F11=$V$6,$V$8,IF(F11=$W$6,$W$8,IF(F11=$X$6,$X$8))))),IF(E11=$S$9,IF(F11=$T$6,$T$9,IF(F11=$U$6,$U$9,IF(F11=$V$6,$V$9,IF(F11=$W$6,$W$9,IF(F11=$X$6,$X$9))))),IF(E11=$S$10,IF(F11=$T$6,$T$10,IF(F11=$U$6,$U$10,IF(F11=$V$6,$V$10,IF(F11=$W$6,$W$10,IF(F11=$X$6,$X$10))))),IF(E11=$S$11,IF(F11=$T$6,$T$11,IF(F11=$U$6,$U$11,IF(F11=$V$6,$V$11,IF(F11=$W$6,$W$11,IF(F11=$X$6,$X$11))))),"")))))</f>
        <v>Moderado</v>
      </c>
      <c r="H11" s="170"/>
      <c r="I11" s="457"/>
      <c r="J11" s="180" t="s">
        <v>294</v>
      </c>
      <c r="K11" s="181" t="str">
        <f>+IF(AND(E7=$S$11,F7=$T$6),A7,"")&amp;" "&amp;IF(AND(E8=$S$11,F8=$T$6),A8,"")&amp;" "&amp;IF(AND(E9=$S$11,F9=$T$6),A9,"")&amp;" "&amp;IF(AND(E10=$S$11,F10=$T$6),A10,"")&amp;" "&amp;IF(AND(E11=$S$11,F11=$T$6),A11,"")&amp;" "&amp;IF(AND(E12=$S$11,F12=$T$6),A12,"")&amp;" "&amp;IF(AND(E13=$S$11,F13=$T$6),A13,"")&amp;" "&amp;IF(AND(E14=$S$11,F14=$T$6),A14,"")&amp;" "&amp;IF(AND(E15=$S$11,F15=$T$6),A15,"")&amp;" "&amp;IF(AND(E16=$S$11,F16=$T$6),A16,"")&amp;" "&amp;IF(AND(E17=$S$11,F17=$T$6),A17,"")&amp;" "&amp;IF(AND(E18=$S$11,F18=$T$6),A18,"")&amp;" "&amp;IF(AND(E19=$S$11,F19=$T$6),A19,"")&amp;" "&amp;IF(AND(E20=$S$11,F20=$T$6),A20,"")&amp;" "&amp;IF(AND(E21=$S$11,F21=$T$6),A21,"")&amp;" "&amp;IF(AND(E22=$S$11,F22=$T$6),A22,"")&amp;" "&amp;IF(AND(E23=$S$11,F23=$T$6),A23,"")&amp;" "&amp;IF(AND(E24=$S$11,F24=$T$6),A24,"")&amp;" "&amp;IF(AND(E25=$S$11,F25=$T$6),A25,"")&amp;" "&amp;IF(AND(E26=$S$11,F26=$T$6),A26,"")</f>
        <v xml:space="preserve">                   </v>
      </c>
      <c r="L11" s="181" t="str">
        <f>+IF(AND(E7=$S$11,F7=$U$6),A7,"")&amp;" "&amp;IF(AND(E8=$S$11,F8=$U$6),A8,"")&amp;" "&amp;IF(AND(E9=$S$11,F9=$U$6),A9,"")&amp;" "&amp;IF(AND(E10=$S$11,F10=$U$6),A10,"")&amp;" "&amp;IF(AND(E11=$S$11,F11=$U$6),A11,"")&amp;" "&amp;IF(AND(E12=$S$11,F12=$U$6),A12,"")&amp;" "&amp;IF(AND(E13=$S$11,F13=$U$6),A13,"")&amp;" "&amp;IF(AND(E14=$S$11,F14=$U$6),A14,"")&amp;" "&amp;IF(AND(E15=$S$11,F15=$U$6),A15,"")&amp;" "&amp;IF(AND(E16=$S$11,F16=$U$6),A16,"")&amp;" "&amp;IF(AND(E17=$S$11,F17=$U$6),A17,"")&amp;" "&amp;IF(AND(E18=$S$11,F18=$U$6),A18,"")&amp;" "&amp;IF(AND(E19=$S$11,F19=$U$6),A19,"")&amp;" "&amp;IF(AND(E20=$S$11,F20=$U$6),A20,"")&amp;" "&amp;IF(AND(E21=$S$11,F21=$U$6),A21,"")&amp;" "&amp;IF(AND(E22=$S$11,F22=$U$6),A22,"")&amp;" "&amp;IF(AND(E23=$S$11,F23=$U$6),A23,"")&amp;" "&amp;IF(AND(E24=$S$11,F24=$U$6),A24,"")&amp;" "&amp;IF(AND(E25=$S$11,F25=$U$6),A25,"")&amp;" "&amp;IF(AND(E26=$S$11,F26=$U$6),A26,"")</f>
        <v xml:space="preserve">                   </v>
      </c>
      <c r="M11" s="182" t="str">
        <f>+IF(AND(E7=$S$11,F7=$V$6),A7,"")&amp;" "&amp;IF(AND(E8=$S$11,F8=$V$6),A8,"")&amp;" "&amp;IF(AND(E9=$S$11,F9=$V$6),A9,"")&amp;" "&amp;IF(AND(E10=$S$11,F10=$V$6),A10,"")&amp;" "&amp;IF(AND(E11=$S$11,F11=$V$6),A11,"")&amp;" "&amp;IF(AND(E12=$S$11,F12=$V$6),A12,"")&amp;" "&amp;IF(AND(E13=$S$11,F13=$V$6),A13,"")&amp;" "&amp;IF(AND(E14=$S$11,F14=$V$6),A14,"")&amp;" "&amp;IF(AND(E15=$S$11,F15=$V$6),A15,"")&amp;" "&amp;IF(AND(E16=$S$11,F16=$V$6),A16,"")&amp;" "&amp;IF(AND(E17=$S$11,F17=$V$6),A17,"")&amp;" "&amp;IF(AND(E18=$S$11,F18=$V$6),A18,"")&amp;" "&amp;IF(AND(E19=$S$11,F19=$V$6),A19,"")&amp;" "&amp;IF(AND(E20=$S$11,F20=$V$6),A20,"")&amp;" "&amp;IF(AND(E21=$S$11,F21=$V$6),A21,"")&amp;" "&amp;IF(AND(E22=$S$11,F22=$V$6),A22,"")&amp;" "&amp;IF(AND(E23=$S$11,F23=$V$6),A23,"")&amp;" "&amp;IF(AND(E24=$S$11,F24=$V$6),A24,"")&amp;" "&amp;IF(AND(E25=$S$11,F25=$V$6),A25,"")&amp;" "&amp;IF(AND(E26=$S$11,F26=$V$6),A26,"")</f>
        <v xml:space="preserve">GS6 GS8 GS9   GS11    GS11  GS18  GS13      </v>
      </c>
      <c r="N11" s="183" t="str">
        <f>+IF(AND(E7=$S$11,F7=$W$6),A7,"")&amp;" "&amp;IF(AND(E8=$S$11,F8=$W$6),A8,"")&amp;" "&amp;IF(AND(E9=$S$11,F9=$W$6),A9,"")&amp;" "&amp;IF(AND(E10=$S$11,F10=$W$6),A10,"")&amp;" "&amp;IF(AND(E11=$S$11,F11=$W$6),A11,"")&amp;" "&amp;IF(AND(E12=$S$11,F12=$W$6),A12,"")&amp;" "&amp;IF(AND(E13=$S$11,F13=$W$6),A13,"")&amp;" "&amp;IF(AND(E14=$S$11,F14=$W$6),A14,"")&amp;" "&amp;IF(AND(E15=$S$11,F15=$W$6),A15,"")&amp;" "&amp;IF(AND(E16=$S$11,F16=$W$6),A16,"")&amp;" "&amp;IF(AND(E17=$S$11,F17=$W$6),A17,"")&amp;" "&amp;IF(AND(E18=$S$11,F18=$W$6),A18,"")&amp;" "&amp;IF(AND(E19=$S$11,F19=$W$6),A19,"")&amp;" "&amp;IF(AND(E20=$S$11,F20=$W$6),A20,"")&amp;" "&amp;IF(AND(E21=$S$11,F21=$W$6),A21,"")&amp;" "&amp;IF(AND(E22=$S$11,F22=$W$6),A22,"")&amp;" "&amp;IF(AND(E23=$S$11,F23=$W$6),A23,"")&amp;" "&amp;IF(AND(E24=$S$11,F24=$W$6),A24,"")&amp;" "&amp;IF(AND(E25=$S$11,F25=$W$6),A25,"")&amp;" "&amp;IF(AND(E26=$S$11,F26=$W$6),A26,"")</f>
        <v xml:space="preserve">                   </v>
      </c>
      <c r="O11" s="184" t="str">
        <f>+IF(AND(E7=$S$11,F7=$X$6),A7,"")&amp;" "&amp;IF(AND(E8=$S$11,F8=$X$6),A8,"")&amp;" "&amp;IF(AND(E9=$S$11,F9=$X$6),A9,"")&amp;" "&amp;IF(AND(E10=$S$11,F10=$X$6),A10,"")&amp;" "&amp;IF(AND(E11=$S$11,F11=$X$6),A11,"")&amp;" "&amp;IF(AND(E12=$S$11,F12=$X$6),A12,"")&amp;" "&amp;IF(AND(E13=$S$11,F13=$X$6),A13,"")&amp;" "&amp;IF(AND(E14=$S$11,F14=$X$6),A14,"")&amp;" "&amp;IF(AND(E15=$S$11,F15=$X$6),A15,"")&amp;" "&amp;IF(AND(E16=$S$11,F16=$X$6),A16,"")&amp;" "&amp;IF(AND(E17=$S$11,F17=$X$6),A17,"")&amp;" "&amp;IF(AND(E18=$S$11,F18=$X$6),A18,"")&amp;" "&amp;IF(AND(E19=$S$11,F19=$X$6),A19,"")&amp;" "&amp;IF(AND(E20=$S$11,F20=$X$6),A20,"")&amp;" "&amp;IF(AND(E21=$S$11,F21=$X$6),A21,"")&amp;" "&amp;IF(AND(E22=$S$11,F22=$X$6),A22,"")&amp;" "&amp;IF(AND(E23=$S$11,F23=$X$6),A23,"")&amp;" "&amp;IF(AND(E24=$S$11,F24=$X$6),A24,"")&amp;" "&amp;IF(AND(E25=$S$11,F25=$X$6),A25,"")&amp;" "&amp;IF(AND(E26=$S$11,F26=$X$6),A26,"")</f>
        <v xml:space="preserve">                   </v>
      </c>
      <c r="P11" s="170"/>
      <c r="Q11" s="466"/>
      <c r="R11" s="185">
        <v>0.2</v>
      </c>
      <c r="S11" s="186" t="s">
        <v>294</v>
      </c>
      <c r="T11" s="181" t="s">
        <v>17</v>
      </c>
      <c r="U11" s="181" t="s">
        <v>17</v>
      </c>
      <c r="V11" s="182" t="s">
        <v>15</v>
      </c>
      <c r="W11" s="183" t="s">
        <v>13</v>
      </c>
      <c r="X11" s="184" t="s">
        <v>11</v>
      </c>
      <c r="AA11" s="155"/>
      <c r="AB11" s="155"/>
      <c r="AC11" s="166"/>
      <c r="AD11" s="176"/>
      <c r="AE11" s="177"/>
      <c r="AF11" s="174"/>
      <c r="AG11" s="174"/>
      <c r="AH11" s="174"/>
      <c r="AI11" s="187"/>
      <c r="AJ11" s="174"/>
      <c r="AK11" s="166"/>
      <c r="AL11" s="166"/>
    </row>
    <row r="12" spans="1:38" ht="93" customHeight="1" x14ac:dyDescent="0.25">
      <c r="A12" s="167" t="str">
        <f>'2. MATRIZ DE RIESGOS'!A39</f>
        <v>GS11</v>
      </c>
      <c r="B12" s="168" t="str">
        <f>'2. MATRIZ DE RIESGOS'!G39</f>
        <v>Posibilidad de afectación reputacional del Instituto reflejada en posibles demandas por parte de la comunidad por falta de información de los proyectos a ejecutar, así como por quejas por parte del desarrollador por retrasos en el inicio de la obras, debido al incumplimiento del acompañamiento social en obra establecido en la Guía de Manejo Socioambiental Distrital.</v>
      </c>
      <c r="C12" s="200">
        <f>'2. MATRIZ DE RIESGOS'!AE39</f>
        <v>5.04E-2</v>
      </c>
      <c r="D12" s="169">
        <f>'2. MATRIZ DE RIESGOS'!AG39</f>
        <v>0.6</v>
      </c>
      <c r="E12" s="201" t="str">
        <f t="shared" si="3"/>
        <v>Muy Baja</v>
      </c>
      <c r="F12" s="201" t="str">
        <f t="shared" si="4"/>
        <v>Moderado</v>
      </c>
      <c r="G12" s="168" t="str">
        <f t="shared" si="5"/>
        <v>Moderado</v>
      </c>
      <c r="H12" s="170"/>
      <c r="I12" s="170"/>
      <c r="J12" s="170"/>
      <c r="K12" s="170"/>
      <c r="L12" s="170"/>
      <c r="M12" s="170"/>
      <c r="N12" s="170"/>
      <c r="O12" s="170"/>
      <c r="P12" s="170"/>
      <c r="AA12" s="155"/>
      <c r="AB12" s="155"/>
      <c r="AC12" s="166"/>
      <c r="AD12" s="176"/>
      <c r="AE12" s="177"/>
      <c r="AF12" s="174"/>
      <c r="AG12" s="174"/>
      <c r="AH12" s="174"/>
      <c r="AI12" s="174"/>
      <c r="AJ12" s="174"/>
      <c r="AK12" s="166"/>
      <c r="AL12" s="166"/>
    </row>
    <row r="13" spans="1:38" ht="93" customHeight="1" x14ac:dyDescent="0.25">
      <c r="A13" s="167" t="str">
        <f>'2. MATRIZ DE RIESGOS'!A42</f>
        <v>GS16</v>
      </c>
      <c r="B13" s="168" t="str">
        <f>'2. MATRIZ DE RIESGOS'!G42</f>
        <v>Posiblidad de afectación reputacional del Instituto reflelada en  PQRSD por parte de la comunidad, así como por incumplimiento de los indicadores de asignación del SDV, debido a que menos del 50% de los hogares que se inscriben al SDV en la modalidad de demanda libre y demanda organizada cumplen con los requisitos para la asignación del mismo.</v>
      </c>
      <c r="C13" s="200">
        <f>'2. MATRIZ DE RIESGOS'!AE42</f>
        <v>0.216</v>
      </c>
      <c r="D13" s="169">
        <f>'2. MATRIZ DE RIESGOS'!AG42</f>
        <v>0.6</v>
      </c>
      <c r="E13" s="201" t="str">
        <f t="shared" si="3"/>
        <v>Baja</v>
      </c>
      <c r="F13" s="201" t="str">
        <f t="shared" si="4"/>
        <v>Moderado</v>
      </c>
      <c r="G13" s="168" t="str">
        <f t="shared" si="5"/>
        <v>Moderado</v>
      </c>
      <c r="H13" s="170"/>
      <c r="I13" s="170"/>
      <c r="J13" s="147" t="s">
        <v>9</v>
      </c>
      <c r="K13" s="170"/>
      <c r="L13" s="170"/>
      <c r="M13" s="170"/>
      <c r="N13" s="170"/>
      <c r="O13" s="170"/>
      <c r="P13" s="170"/>
      <c r="V13" s="155"/>
      <c r="W13" s="155"/>
      <c r="X13" s="155"/>
      <c r="Y13" s="155"/>
      <c r="Z13" s="155"/>
      <c r="AA13" s="155"/>
      <c r="AB13" s="155"/>
      <c r="AC13" s="166"/>
      <c r="AD13" s="176"/>
      <c r="AE13" s="166"/>
      <c r="AF13" s="177"/>
      <c r="AG13" s="177"/>
      <c r="AH13" s="177"/>
      <c r="AI13" s="177"/>
      <c r="AJ13" s="177"/>
      <c r="AK13" s="166"/>
      <c r="AL13" s="166"/>
    </row>
    <row r="14" spans="1:38" ht="93" customHeight="1" x14ac:dyDescent="0.25">
      <c r="A14" s="167" t="str">
        <f>'2. MATRIZ DE RIESGOS'!A44</f>
        <v>GS17</v>
      </c>
      <c r="B14" s="168" t="str">
        <f>'2. MATRIZ DE RIESGOS'!G44</f>
        <v>Posibilidad de afectación reputacional y económica del Instituto, reflejada en PQRSD por parte de los hogares postulados, requermientos por parte de líderes comunales, el distrito de Medellín o el Concejo, hallazgos de entes de control y traslados de rubros, ajustes en el presupuesto, así como por   incumplimiento de los indicadores de asignación del SDV. Lo anterior, debido a que Menos del 90% de los hogares remitidos por cada linea de acción, logran la postulación al SDV en la modalidad e vivienda nueva y usada.</v>
      </c>
      <c r="C14" s="200">
        <f>'2. MATRIZ DE RIESGOS'!AE44</f>
        <v>0.42</v>
      </c>
      <c r="D14" s="169">
        <f>'2. MATRIZ DE RIESGOS'!AG44</f>
        <v>0.33749999999999997</v>
      </c>
      <c r="E14" s="201" t="str">
        <f t="shared" si="3"/>
        <v>Media</v>
      </c>
      <c r="F14" s="201" t="str">
        <f t="shared" si="4"/>
        <v>Menor</v>
      </c>
      <c r="G14" s="168" t="str">
        <f t="shared" si="5"/>
        <v>Moderado</v>
      </c>
      <c r="H14" s="170"/>
      <c r="I14" s="170"/>
      <c r="J14" s="188" t="s">
        <v>11</v>
      </c>
      <c r="K14" s="170"/>
      <c r="L14" s="170"/>
      <c r="M14" s="170"/>
      <c r="N14" s="170"/>
      <c r="O14" s="170"/>
      <c r="P14" s="170"/>
      <c r="V14" s="155"/>
      <c r="W14" s="155"/>
      <c r="X14" s="155"/>
      <c r="Y14" s="155"/>
      <c r="Z14" s="155"/>
      <c r="AA14" s="155"/>
      <c r="AB14" s="155"/>
      <c r="AC14" s="166"/>
      <c r="AD14" s="166"/>
      <c r="AE14" s="166"/>
      <c r="AF14" s="174"/>
      <c r="AG14" s="174"/>
      <c r="AH14" s="174"/>
      <c r="AI14" s="174"/>
      <c r="AJ14" s="174"/>
      <c r="AK14" s="166"/>
      <c r="AL14" s="166"/>
    </row>
    <row r="15" spans="1:38" ht="93" customHeight="1" x14ac:dyDescent="0.25">
      <c r="A15" s="167" t="str">
        <f>'2. MATRIZ DE RIESGOS'!A47</f>
        <v>GS19</v>
      </c>
      <c r="B15" s="168" t="str">
        <f>'2. MATRIZ DE RIESGOS'!G47</f>
        <v>Posiblidad de afectación reputacional y económica del Instituto, reflejada en PQRSD por parte de los hogares beneficiarios del SDV, requerimientos por parte del distrito de Medellín o el Concejo, hallazgos de entes de control, un mayor tiempo de desembolso de recursos para el pago del arrendamiento temporal (población sujeto de reasentamiento por riesgo, desastre y/o calamidad), asi como un mayor valor del SDV que debe ser entregado a los hogares beneficiarios. Lo anterior, debido a que no se cumple con la entrega de la totalidad de las viviendas remitidas por la Subdirección de Dotación de Vivienda y Habitat de manera oportuna y en cumplimiento de los requisitos establecidos</v>
      </c>
      <c r="C15" s="200">
        <f>'2. MATRIZ DE RIESGOS'!AE47</f>
        <v>0.28799999999999998</v>
      </c>
      <c r="D15" s="169">
        <f>'2. MATRIZ DE RIESGOS'!AG47</f>
        <v>0.44999999999999996</v>
      </c>
      <c r="E15" s="201" t="str">
        <f t="shared" si="3"/>
        <v>Baja</v>
      </c>
      <c r="F15" s="201" t="str">
        <f t="shared" si="4"/>
        <v>Moderado</v>
      </c>
      <c r="G15" s="168" t="str">
        <f t="shared" si="5"/>
        <v>Moderado</v>
      </c>
      <c r="H15" s="170"/>
      <c r="I15" s="170"/>
      <c r="J15" s="171" t="s">
        <v>13</v>
      </c>
      <c r="K15" s="170"/>
      <c r="L15" s="170"/>
      <c r="M15" s="170"/>
      <c r="N15" s="170"/>
      <c r="O15" s="170"/>
      <c r="P15" s="170"/>
      <c r="U15" s="155"/>
      <c r="V15" s="155"/>
      <c r="W15" s="155"/>
      <c r="X15" s="155"/>
      <c r="Y15" s="155"/>
      <c r="Z15" s="155"/>
      <c r="AA15" s="155"/>
      <c r="AB15" s="155"/>
      <c r="AC15" s="166"/>
      <c r="AD15" s="166"/>
      <c r="AE15" s="166"/>
      <c r="AF15" s="174"/>
      <c r="AG15" s="174"/>
      <c r="AH15" s="174"/>
      <c r="AI15" s="174"/>
      <c r="AJ15" s="174"/>
      <c r="AK15" s="166"/>
      <c r="AL15" s="166"/>
    </row>
    <row r="16" spans="1:38" ht="93" customHeight="1" x14ac:dyDescent="0.25">
      <c r="A16" s="167" t="str">
        <f>'2. MATRIZ DE RIESGOS'!A39</f>
        <v>GS11</v>
      </c>
      <c r="B16" s="168" t="str">
        <f>'2. MATRIZ DE RIESGOS'!G39</f>
        <v>Posibilidad de afectación reputacional del Instituto reflejada en posibles demandas por parte de la comunidad por falta de información de los proyectos a ejecutar, así como por quejas por parte del desarrollador por retrasos en el inicio de la obras, debido al incumplimiento del acompañamiento social en obra establecido en la Guía de Manejo Socioambiental Distrital.</v>
      </c>
      <c r="C16" s="200">
        <f>'2. MATRIZ DE RIESGOS'!AE39</f>
        <v>5.04E-2</v>
      </c>
      <c r="D16" s="169">
        <f>'2. MATRIZ DE RIESGOS'!AG39</f>
        <v>0.6</v>
      </c>
      <c r="E16" s="201" t="str">
        <f t="shared" si="3"/>
        <v>Muy Baja</v>
      </c>
      <c r="F16" s="201" t="str">
        <f t="shared" si="4"/>
        <v>Moderado</v>
      </c>
      <c r="G16" s="168" t="str">
        <f t="shared" si="5"/>
        <v>Moderado</v>
      </c>
      <c r="H16" s="170"/>
      <c r="I16" s="170"/>
      <c r="J16" s="175" t="s">
        <v>15</v>
      </c>
      <c r="K16" s="170"/>
      <c r="L16" s="170"/>
      <c r="M16" s="170"/>
      <c r="N16" s="170"/>
      <c r="O16" s="170"/>
      <c r="P16" s="170"/>
      <c r="S16" s="189"/>
      <c r="U16" s="189"/>
      <c r="V16" s="189"/>
      <c r="W16" s="189"/>
      <c r="X16" s="189"/>
      <c r="Y16" s="189"/>
      <c r="Z16" s="189"/>
      <c r="AA16" s="189"/>
      <c r="AB16" s="189"/>
      <c r="AC16" s="166"/>
      <c r="AD16" s="166"/>
      <c r="AE16" s="190"/>
      <c r="AF16" s="190"/>
      <c r="AG16" s="190"/>
      <c r="AH16" s="190"/>
      <c r="AI16" s="190"/>
      <c r="AJ16" s="190"/>
      <c r="AK16" s="166"/>
      <c r="AL16" s="166"/>
    </row>
    <row r="17" spans="1:38" ht="93" customHeight="1" x14ac:dyDescent="0.25">
      <c r="A17" s="167" t="str">
        <f>'2. MATRIZ DE RIESGOS'!A52</f>
        <v>GS15</v>
      </c>
      <c r="B17" s="168" t="str">
        <f>'2. MATRIZ DE RIESGOS'!G52</f>
        <v>Posibilidad de afectación reputacional y económica del Instituto reflejada en PQRSD por parte de los beneficiarios, requerimientos por parte de la entidades contratantes por posible incumplimiento de los convenios / contratos interadministrativos, asi como sanciones pecuniarias por incumplimientos contractuales. Lo anterior debido a que no se cuente con la identificación de la vivienda de reposición en cumplmiento de la normatividad aplicable para la totalidad de los hogares remitidos, durante la vigencia de los Convenios/Contratos Interadministrativos.</v>
      </c>
      <c r="C17" s="200">
        <f>'2. MATRIZ DE RIESGOS'!AE52</f>
        <v>0.4</v>
      </c>
      <c r="D17" s="169">
        <f>'2. MATRIZ DE RIESGOS'!AG52</f>
        <v>0.60000000000000009</v>
      </c>
      <c r="E17" s="201" t="str">
        <f t="shared" si="3"/>
        <v>Baja</v>
      </c>
      <c r="F17" s="201" t="str">
        <f t="shared" si="4"/>
        <v>Moderado</v>
      </c>
      <c r="G17" s="168" t="str">
        <f t="shared" si="5"/>
        <v>Moderado</v>
      </c>
      <c r="H17" s="170"/>
      <c r="I17" s="170"/>
      <c r="J17" s="179" t="s">
        <v>17</v>
      </c>
      <c r="K17" s="170"/>
      <c r="L17" s="170"/>
      <c r="M17" s="170"/>
      <c r="N17" s="170"/>
      <c r="O17" s="170"/>
      <c r="P17" s="170"/>
      <c r="S17" s="189"/>
      <c r="AA17" s="189"/>
      <c r="AB17" s="189"/>
      <c r="AC17" s="166"/>
      <c r="AD17" s="166"/>
      <c r="AE17" s="166"/>
      <c r="AF17" s="174"/>
      <c r="AG17" s="174"/>
      <c r="AH17" s="174"/>
      <c r="AI17" s="174"/>
      <c r="AJ17" s="174"/>
      <c r="AK17" s="166"/>
      <c r="AL17" s="166"/>
    </row>
    <row r="18" spans="1:38" ht="93" customHeight="1" x14ac:dyDescent="0.25">
      <c r="A18" s="167" t="str">
        <f>'2. MATRIZ DE RIESGOS'!A55</f>
        <v>GS18</v>
      </c>
      <c r="B18" s="168" t="str">
        <f>'2. MATRIZ DE RIESGOS'!G55</f>
        <v>Posibilidad de afectación económica y reputacional del Instituto reflejada en sanciones pecuniarias por el incumplimiento del Convenio / Contrato Interadministrativo, PQRSD por parte de los benficiarios del SDV asi como requerimientos por parte de la entidad contratante. Lo anterior, debido al incumplimiento de las actividades de acompañamiento social para la totalidad de los hogares con vivienda de reposición identificada durante la vigencia de los contratos interadministrativos.</v>
      </c>
      <c r="C18" s="200">
        <f>'2. MATRIZ DE RIESGOS'!AE55</f>
        <v>0.12959999999999999</v>
      </c>
      <c r="D18" s="169">
        <f>'2. MATRIZ DE RIESGOS'!AG55</f>
        <v>0.60000000000000009</v>
      </c>
      <c r="E18" s="201" t="str">
        <f t="shared" si="3"/>
        <v>Muy Baja</v>
      </c>
      <c r="F18" s="201" t="str">
        <f t="shared" si="4"/>
        <v>Moderado</v>
      </c>
      <c r="G18" s="168" t="str">
        <f t="shared" si="5"/>
        <v>Moderado</v>
      </c>
      <c r="H18" s="170"/>
      <c r="I18" s="170"/>
      <c r="J18" s="170"/>
      <c r="K18" s="170"/>
      <c r="L18" s="170"/>
      <c r="M18" s="170"/>
      <c r="N18" s="170"/>
      <c r="O18" s="170"/>
      <c r="P18" s="170"/>
      <c r="Q18" s="191"/>
      <c r="R18" s="191"/>
      <c r="S18" s="189"/>
      <c r="AA18" s="189"/>
      <c r="AB18" s="189"/>
      <c r="AC18" s="166"/>
      <c r="AD18" s="166"/>
      <c r="AE18" s="166"/>
      <c r="AF18" s="174"/>
      <c r="AG18" s="174"/>
      <c r="AH18" s="174"/>
      <c r="AI18" s="174"/>
      <c r="AJ18" s="174"/>
      <c r="AK18" s="166"/>
      <c r="AL18" s="166"/>
    </row>
    <row r="19" spans="1:38" ht="93" customHeight="1" x14ac:dyDescent="0.25">
      <c r="A19" s="167" t="str">
        <f>'2. MATRIZ DE RIESGOS'!A60</f>
        <v>GS20</v>
      </c>
      <c r="B19" s="168" t="str">
        <f>'2. MATRIZ DE RIESGOS'!G60</f>
        <v>Posibilidad de afectación reputacional del Instituto reflejada en PQRSD por parte de los benficiarios, requerimientos por parte de la entidad contratante, asi como revocatoria de los actos administrativos. Lo anterior por causa de que menos del 95% de las asignaciónes para el SDV son efectivas.</v>
      </c>
      <c r="C19" s="200">
        <f>'2. MATRIZ DE RIESGOS'!AE60</f>
        <v>0.6</v>
      </c>
      <c r="D19" s="169">
        <f>'2. MATRIZ DE RIESGOS'!AG60</f>
        <v>0.6</v>
      </c>
      <c r="E19" s="201" t="str">
        <f t="shared" si="3"/>
        <v>Media</v>
      </c>
      <c r="F19" s="201" t="str">
        <f t="shared" si="4"/>
        <v>Moderado</v>
      </c>
      <c r="G19" s="168" t="str">
        <f t="shared" si="5"/>
        <v>Moderado</v>
      </c>
      <c r="H19" s="170"/>
      <c r="I19" s="170"/>
      <c r="J19" s="170"/>
      <c r="K19" s="170"/>
      <c r="L19" s="170"/>
      <c r="M19" s="170"/>
      <c r="N19" s="170"/>
      <c r="O19" s="170"/>
      <c r="P19" s="170"/>
      <c r="Q19" s="191"/>
      <c r="R19" s="191"/>
      <c r="S19" s="192"/>
      <c r="AA19" s="189"/>
      <c r="AB19" s="189"/>
      <c r="AC19" s="166"/>
      <c r="AD19" s="187"/>
      <c r="AE19" s="187"/>
      <c r="AF19" s="187"/>
      <c r="AG19" s="187"/>
      <c r="AH19" s="187"/>
      <c r="AI19" s="187"/>
      <c r="AJ19" s="174"/>
      <c r="AK19" s="166"/>
      <c r="AL19" s="166"/>
    </row>
    <row r="20" spans="1:38" ht="93" customHeight="1" x14ac:dyDescent="0.25">
      <c r="A20" s="167" t="str">
        <f>'2. MATRIZ DE RIESGOS'!A63</f>
        <v>GS13</v>
      </c>
      <c r="B20" s="168" t="str">
        <f>'2. MATRIZ DE RIESGOS'!G63</f>
        <v>Posibilidad de afectación económica del Instituto reflejada en demandas, multas y sanciones por parte de los funcionarios / contratistas y/o  entes de control, debido a la materialización de situaciones que atentan contra la integridad física del personal que desarrolla actividades de campo en el marco del acompañamiento social a los hogares sujetos de atención del Isvimed antes, durante y después de la entrega de la solución definitiva de vivienda.</v>
      </c>
      <c r="C20" s="200">
        <f>'2. MATRIZ DE RIESGOS'!AE63</f>
        <v>0.17279999999999998</v>
      </c>
      <c r="D20" s="169">
        <f>'2. MATRIZ DE RIESGOS'!AG63</f>
        <v>0.5625</v>
      </c>
      <c r="E20" s="201" t="str">
        <f t="shared" si="3"/>
        <v>Muy Baja</v>
      </c>
      <c r="F20" s="201" t="str">
        <f t="shared" si="4"/>
        <v>Moderado</v>
      </c>
      <c r="G20" s="168" t="str">
        <f t="shared" si="5"/>
        <v>Moderado</v>
      </c>
      <c r="H20" s="170"/>
      <c r="I20" s="170"/>
      <c r="J20" s="170"/>
      <c r="K20" s="170"/>
      <c r="L20" s="170"/>
      <c r="M20" s="170"/>
      <c r="N20" s="170"/>
      <c r="O20" s="170"/>
      <c r="P20" s="170"/>
      <c r="Q20" s="191"/>
      <c r="R20" s="191"/>
      <c r="AC20" s="166"/>
      <c r="AD20" s="193"/>
      <c r="AE20" s="193"/>
      <c r="AF20" s="193"/>
      <c r="AG20" s="193"/>
      <c r="AH20" s="193"/>
      <c r="AI20" s="193"/>
      <c r="AJ20" s="174"/>
      <c r="AK20" s="166"/>
      <c r="AL20" s="166"/>
    </row>
    <row r="21" spans="1:38" ht="93" customHeight="1" x14ac:dyDescent="0.25">
      <c r="A21" s="167" t="s">
        <v>480</v>
      </c>
      <c r="B21" s="168">
        <v>0</v>
      </c>
      <c r="C21" s="200" t="s">
        <v>481</v>
      </c>
      <c r="D21" s="169">
        <v>0</v>
      </c>
      <c r="E21" s="201" t="str">
        <f t="shared" si="3"/>
        <v/>
      </c>
      <c r="F21" s="201" t="str">
        <f t="shared" si="4"/>
        <v/>
      </c>
      <c r="G21" s="168" t="str">
        <f t="shared" si="5"/>
        <v/>
      </c>
      <c r="H21" s="170"/>
      <c r="I21" s="170"/>
      <c r="J21" s="170"/>
      <c r="K21" s="170"/>
      <c r="L21" s="170"/>
      <c r="M21" s="170"/>
      <c r="N21" s="170"/>
      <c r="O21" s="170"/>
      <c r="P21" s="170"/>
      <c r="Q21" s="191"/>
      <c r="R21" s="191"/>
      <c r="AC21" s="166"/>
      <c r="AD21" s="187"/>
      <c r="AE21" s="187"/>
      <c r="AF21" s="187"/>
      <c r="AG21" s="187"/>
      <c r="AH21" s="187"/>
      <c r="AI21" s="187"/>
      <c r="AJ21" s="174"/>
      <c r="AK21" s="166"/>
      <c r="AL21" s="166"/>
    </row>
    <row r="22" spans="1:38" ht="93" customHeight="1" x14ac:dyDescent="0.25">
      <c r="A22" s="167" t="s">
        <v>480</v>
      </c>
      <c r="B22" s="168">
        <v>0</v>
      </c>
      <c r="C22" s="200" t="s">
        <v>481</v>
      </c>
      <c r="D22" s="169">
        <v>0</v>
      </c>
      <c r="E22" s="201" t="str">
        <f t="shared" si="0"/>
        <v/>
      </c>
      <c r="F22" s="201" t="str">
        <f t="shared" si="1"/>
        <v/>
      </c>
      <c r="G22" s="168" t="str">
        <f t="shared" si="2"/>
        <v/>
      </c>
      <c r="H22" s="170"/>
      <c r="I22" s="170"/>
      <c r="J22" s="170"/>
      <c r="K22" s="170"/>
      <c r="L22" s="170"/>
      <c r="M22" s="170"/>
      <c r="N22" s="170"/>
      <c r="O22" s="170"/>
      <c r="P22" s="170"/>
      <c r="AC22" s="166"/>
      <c r="AD22" s="187"/>
      <c r="AE22" s="187"/>
      <c r="AF22" s="187"/>
      <c r="AG22" s="187"/>
      <c r="AH22" s="187"/>
      <c r="AI22" s="187"/>
      <c r="AJ22" s="174"/>
      <c r="AK22" s="166"/>
      <c r="AL22" s="166"/>
    </row>
    <row r="23" spans="1:38" ht="93" customHeight="1" x14ac:dyDescent="0.3">
      <c r="A23" s="167" t="s">
        <v>482</v>
      </c>
      <c r="B23" s="168">
        <v>0</v>
      </c>
      <c r="C23" s="200" t="s">
        <v>481</v>
      </c>
      <c r="D23" s="169">
        <v>0</v>
      </c>
      <c r="E23" s="201" t="str">
        <f t="shared" si="0"/>
        <v/>
      </c>
      <c r="F23" s="201" t="str">
        <f t="shared" si="1"/>
        <v/>
      </c>
      <c r="G23" s="168" t="str">
        <f t="shared" si="2"/>
        <v/>
      </c>
      <c r="H23" s="170"/>
      <c r="I23" s="170"/>
      <c r="J23" s="170"/>
      <c r="K23" s="170"/>
      <c r="L23" s="170"/>
      <c r="M23" s="170"/>
      <c r="N23" s="170"/>
      <c r="O23" s="170"/>
      <c r="P23" s="170"/>
    </row>
    <row r="24" spans="1:38" ht="93" customHeight="1" x14ac:dyDescent="0.3">
      <c r="A24" s="167" t="s">
        <v>483</v>
      </c>
      <c r="B24" s="168">
        <v>0</v>
      </c>
      <c r="C24" s="200" t="s">
        <v>481</v>
      </c>
      <c r="D24" s="169">
        <v>0</v>
      </c>
      <c r="E24" s="201" t="str">
        <f t="shared" si="0"/>
        <v/>
      </c>
      <c r="F24" s="201" t="str">
        <f t="shared" si="1"/>
        <v/>
      </c>
      <c r="G24" s="168" t="str">
        <f t="shared" si="2"/>
        <v/>
      </c>
      <c r="H24" s="170"/>
      <c r="I24" s="170"/>
      <c r="J24" s="170"/>
      <c r="K24" s="170"/>
      <c r="L24" s="170"/>
      <c r="M24" s="170"/>
      <c r="N24" s="170"/>
      <c r="O24" s="170"/>
      <c r="P24" s="170"/>
    </row>
    <row r="25" spans="1:38" ht="93" customHeight="1" x14ac:dyDescent="0.3">
      <c r="A25" s="167" t="s">
        <v>484</v>
      </c>
      <c r="B25" s="168">
        <v>0</v>
      </c>
      <c r="C25" s="200" t="s">
        <v>481</v>
      </c>
      <c r="D25" s="169">
        <v>0</v>
      </c>
      <c r="E25" s="201" t="str">
        <f t="shared" si="0"/>
        <v/>
      </c>
      <c r="F25" s="201" t="str">
        <f t="shared" si="1"/>
        <v/>
      </c>
      <c r="G25" s="168" t="str">
        <f t="shared" si="2"/>
        <v/>
      </c>
      <c r="H25" s="170"/>
      <c r="I25" s="170"/>
      <c r="J25" s="170"/>
      <c r="K25" s="170"/>
      <c r="L25" s="170"/>
      <c r="M25" s="170"/>
      <c r="N25" s="170"/>
      <c r="O25" s="170"/>
      <c r="P25" s="170"/>
    </row>
    <row r="26" spans="1:38" ht="93" customHeight="1" x14ac:dyDescent="0.3">
      <c r="A26" s="167" t="s">
        <v>485</v>
      </c>
      <c r="B26" s="168">
        <v>0</v>
      </c>
      <c r="C26" s="200" t="s">
        <v>481</v>
      </c>
      <c r="D26" s="169">
        <v>0</v>
      </c>
      <c r="E26" s="201" t="str">
        <f t="shared" si="0"/>
        <v/>
      </c>
      <c r="F26" s="201" t="str">
        <f t="shared" si="1"/>
        <v/>
      </c>
      <c r="G26" s="168" t="str">
        <f t="shared" si="2"/>
        <v/>
      </c>
      <c r="H26" s="170"/>
      <c r="I26" s="170"/>
      <c r="J26" s="170"/>
      <c r="K26" s="170"/>
      <c r="L26" s="170"/>
      <c r="M26" s="170"/>
      <c r="N26" s="170"/>
      <c r="O26" s="170"/>
      <c r="P26" s="170"/>
    </row>
    <row r="27" spans="1:38" ht="14.7" customHeight="1" x14ac:dyDescent="0.3">
      <c r="B27" s="152"/>
      <c r="D27" s="152"/>
      <c r="G27" s="152"/>
      <c r="H27" s="152"/>
      <c r="I27" s="152"/>
      <c r="J27" s="152"/>
      <c r="K27" s="152"/>
      <c r="L27" s="152"/>
      <c r="M27" s="152"/>
      <c r="N27" s="152"/>
      <c r="O27" s="152"/>
      <c r="P27" s="152"/>
      <c r="AA27" s="156"/>
      <c r="AB27" s="156"/>
      <c r="AC27" s="156"/>
      <c r="AD27" s="156"/>
      <c r="AE27" s="156"/>
      <c r="AF27" s="152"/>
      <c r="AG27" s="152"/>
      <c r="AH27" s="152"/>
      <c r="AI27" s="152"/>
      <c r="AJ27" s="152"/>
    </row>
    <row r="28" spans="1:38" ht="39" hidden="1" customHeight="1" x14ac:dyDescent="0.3">
      <c r="B28" s="152"/>
      <c r="D28" s="152"/>
      <c r="G28" s="152"/>
      <c r="H28" s="152"/>
      <c r="I28" s="152"/>
      <c r="J28" s="152"/>
      <c r="K28" s="152"/>
      <c r="L28" s="152"/>
      <c r="M28" s="152"/>
      <c r="N28" s="152"/>
      <c r="O28" s="152"/>
      <c r="P28" s="152"/>
      <c r="AA28" s="156"/>
      <c r="AB28" s="156"/>
      <c r="AC28" s="156"/>
      <c r="AD28" s="156"/>
      <c r="AE28" s="156"/>
      <c r="AF28" s="152"/>
      <c r="AG28" s="152"/>
      <c r="AH28" s="152"/>
      <c r="AI28" s="152"/>
      <c r="AJ28" s="152"/>
    </row>
    <row r="29" spans="1:38" ht="19.5" hidden="1" customHeight="1" x14ac:dyDescent="0.3">
      <c r="B29" s="152"/>
      <c r="D29" s="152"/>
      <c r="G29" s="152"/>
      <c r="H29" s="152"/>
      <c r="I29" s="152"/>
      <c r="J29" s="152"/>
      <c r="K29" s="152"/>
      <c r="L29" s="152"/>
      <c r="M29" s="152"/>
      <c r="N29" s="152"/>
      <c r="O29" s="152"/>
      <c r="P29" s="152"/>
      <c r="AA29" s="156"/>
      <c r="AB29" s="156"/>
      <c r="AC29" s="156"/>
      <c r="AD29" s="156"/>
      <c r="AE29" s="156"/>
      <c r="AF29" s="152"/>
      <c r="AG29" s="152"/>
      <c r="AH29" s="152"/>
      <c r="AI29" s="152"/>
      <c r="AJ29" s="152"/>
    </row>
    <row r="30" spans="1:38" ht="19.5" hidden="1" customHeight="1" x14ac:dyDescent="0.3">
      <c r="B30" s="152"/>
      <c r="D30" s="152"/>
      <c r="G30" s="152"/>
      <c r="H30" s="152"/>
      <c r="I30" s="152"/>
      <c r="J30" s="152"/>
      <c r="K30" s="152"/>
      <c r="L30" s="152"/>
      <c r="M30" s="152"/>
      <c r="N30" s="152"/>
      <c r="O30" s="152"/>
      <c r="P30" s="152"/>
      <c r="AA30" s="156"/>
      <c r="AB30" s="156"/>
      <c r="AC30" s="156"/>
      <c r="AD30" s="156"/>
      <c r="AE30" s="156"/>
      <c r="AF30" s="152"/>
      <c r="AG30" s="152"/>
      <c r="AH30" s="152"/>
      <c r="AI30" s="152"/>
      <c r="AJ30" s="152"/>
    </row>
    <row r="31" spans="1:38" ht="19.5" hidden="1" customHeight="1" x14ac:dyDescent="0.3">
      <c r="B31" s="152"/>
      <c r="D31" s="152"/>
      <c r="G31" s="152"/>
      <c r="H31" s="152"/>
      <c r="I31" s="152"/>
      <c r="J31" s="152"/>
      <c r="K31" s="152"/>
      <c r="L31" s="152"/>
      <c r="M31" s="152"/>
      <c r="N31" s="152"/>
      <c r="O31" s="152"/>
      <c r="P31" s="152"/>
      <c r="AA31" s="156"/>
      <c r="AB31" s="156"/>
      <c r="AC31" s="156"/>
      <c r="AD31" s="156"/>
      <c r="AE31" s="156"/>
      <c r="AF31" s="152"/>
      <c r="AG31" s="152"/>
      <c r="AH31" s="152"/>
      <c r="AI31" s="152"/>
      <c r="AJ31" s="152"/>
    </row>
    <row r="32" spans="1:38" ht="19.5" hidden="1" customHeight="1" x14ac:dyDescent="0.3">
      <c r="B32" s="152"/>
      <c r="D32" s="152"/>
      <c r="G32" s="152"/>
      <c r="H32" s="152"/>
      <c r="I32" s="152"/>
      <c r="J32" s="152"/>
      <c r="K32" s="152"/>
      <c r="L32" s="152"/>
      <c r="M32" s="152"/>
      <c r="N32" s="152"/>
      <c r="O32" s="152"/>
      <c r="P32" s="152"/>
      <c r="AA32" s="156"/>
      <c r="AB32" s="156"/>
      <c r="AC32" s="156"/>
      <c r="AD32" s="156"/>
      <c r="AE32" s="156"/>
      <c r="AF32" s="152"/>
      <c r="AG32" s="152"/>
      <c r="AH32" s="152"/>
      <c r="AI32" s="152"/>
      <c r="AJ32" s="152"/>
    </row>
    <row r="33" spans="2:36" ht="19.5" hidden="1" customHeight="1" x14ac:dyDescent="0.3">
      <c r="B33" s="152"/>
      <c r="D33" s="152"/>
      <c r="G33" s="152"/>
      <c r="H33" s="152"/>
      <c r="I33" s="152"/>
      <c r="J33" s="152"/>
      <c r="K33" s="152"/>
      <c r="L33" s="152"/>
      <c r="M33" s="152"/>
      <c r="N33" s="152"/>
      <c r="O33" s="152"/>
      <c r="P33" s="152"/>
      <c r="AA33" s="156"/>
      <c r="AB33" s="156"/>
      <c r="AC33" s="156"/>
      <c r="AD33" s="156"/>
      <c r="AE33" s="156"/>
      <c r="AF33" s="152"/>
      <c r="AG33" s="152"/>
      <c r="AH33" s="152"/>
      <c r="AI33" s="152"/>
      <c r="AJ33" s="152"/>
    </row>
    <row r="34" spans="2:36" x14ac:dyDescent="0.3"/>
    <row r="35" spans="2:36" ht="13.2" customHeight="1" x14ac:dyDescent="0.3"/>
    <row r="36" spans="2:36" ht="13.2" customHeight="1" x14ac:dyDescent="0.3"/>
  </sheetData>
  <sheetProtection formatCells="0" formatColumns="0" formatRows="0" sort="0" autoFilter="0" pivotTables="0"/>
  <dataConsolidate/>
  <mergeCells count="9">
    <mergeCell ref="I7:I11"/>
    <mergeCell ref="Q7:Q11"/>
    <mergeCell ref="A1:D1"/>
    <mergeCell ref="B3:D3"/>
    <mergeCell ref="K3:V3"/>
    <mergeCell ref="I4:O4"/>
    <mergeCell ref="T4:X4"/>
    <mergeCell ref="E5:G5"/>
    <mergeCell ref="K5:O5"/>
  </mergeCells>
  <conditionalFormatting sqref="D7:E26">
    <cfRule type="cellIs" dxfId="27" priority="1" operator="equal">
      <formula>$S$11</formula>
    </cfRule>
    <cfRule type="cellIs" dxfId="26" priority="2" operator="equal">
      <formula>$S$10</formula>
    </cfRule>
    <cfRule type="cellIs" dxfId="25" priority="3" operator="equal">
      <formula>$S$9</formula>
    </cfRule>
    <cfRule type="cellIs" dxfId="24" priority="4" operator="equal">
      <formula>$S$8</formula>
    </cfRule>
    <cfRule type="cellIs" dxfId="23" priority="5" operator="equal">
      <formula>$S$7</formula>
    </cfRule>
  </conditionalFormatting>
  <conditionalFormatting sqref="F7:F26">
    <cfRule type="cellIs" dxfId="22" priority="6" operator="equal">
      <formula>$T$6</formula>
    </cfRule>
    <cfRule type="cellIs" dxfId="21" priority="7" operator="equal">
      <formula>$U$6</formula>
    </cfRule>
    <cfRule type="cellIs" dxfId="20" priority="8" operator="equal">
      <formula>$V$6</formula>
    </cfRule>
    <cfRule type="cellIs" dxfId="19" priority="9" operator="equal">
      <formula>$W$6</formula>
    </cfRule>
    <cfRule type="cellIs" dxfId="18" priority="10" operator="equal">
      <formula>$X$6</formula>
    </cfRule>
  </conditionalFormatting>
  <conditionalFormatting sqref="G7:G26">
    <cfRule type="cellIs" dxfId="17" priority="11" operator="equal">
      <formula>$J$14</formula>
    </cfRule>
    <cfRule type="cellIs" dxfId="16" priority="12" operator="equal">
      <formula>$J$15</formula>
    </cfRule>
    <cfRule type="cellIs" dxfId="15" priority="13" operator="equal">
      <formula>$J$16</formula>
    </cfRule>
    <cfRule type="cellIs" dxfId="14" priority="14" operator="equal">
      <formula>$J$17</formula>
    </cfRule>
  </conditionalFormatting>
  <dataValidations count="3">
    <dataValidation allowBlank="1" showInputMessage="1" showErrorMessage="1" prompt="Es la materialización del riesgo y las consecuencias de su aparición. Su escala es: 5 bajo impacto, 10 medio, 20 alto impacto._x000a_" sqref="JD6:JJ6" xr:uid="{08999B5F-9134-4D59-A028-7419341D2E78}"/>
    <dataValidation allowBlank="1" showInputMessage="1" showErrorMessage="1" prompt="La probabilidad se encuentra determinada por una escala de 1 a 3, siendo 1 la menor probabilidad de ocurrencia del riesgo y 3 la mayor probabilidad de  ocurrencia." sqref="JC6" xr:uid="{3D45FA1A-8314-40F7-82A9-82FAFFCCA0B3}"/>
    <dataValidation type="list" allowBlank="1" showInputMessage="1" showErrorMessage="1" sqref="JD7:JJ14" xr:uid="{DD5032AA-1BDE-4E60-985F-4E29A071CDD9}">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26F047-FA2B-40EF-9713-493B911F7764}">
  <dimension ref="A1:JH72"/>
  <sheetViews>
    <sheetView showGridLines="0" zoomScaleNormal="100" workbookViewId="0">
      <selection activeCell="I8" sqref="I8:I12"/>
    </sheetView>
  </sheetViews>
  <sheetFormatPr baseColWidth="10" defaultColWidth="0" defaultRowHeight="0" customHeight="1" zeroHeight="1" x14ac:dyDescent="0.3"/>
  <cols>
    <col min="1" max="1" width="14.6640625" style="152" customWidth="1"/>
    <col min="2" max="2" width="9.33203125" style="156" bestFit="1" customWidth="1"/>
    <col min="3" max="4" width="15.44140625" style="156" customWidth="1"/>
    <col min="5" max="6" width="15.44140625" style="202" customWidth="1"/>
    <col min="7" max="7" width="15.44140625" style="156" customWidth="1"/>
    <col min="8" max="8" width="3.6640625" style="156" customWidth="1"/>
    <col min="9" max="9" width="7.44140625" style="156" customWidth="1"/>
    <col min="10" max="10" width="14" style="156" customWidth="1"/>
    <col min="11" max="15" width="12.44140625" style="156" customWidth="1"/>
    <col min="16" max="16" width="3.6640625" style="156" customWidth="1"/>
    <col min="17" max="17" width="4.6640625" style="152" hidden="1" customWidth="1"/>
    <col min="18" max="18" width="6.33203125" style="152" hidden="1" customWidth="1"/>
    <col min="19" max="24" width="14" style="152" hidden="1" customWidth="1"/>
    <col min="25" max="29" width="11.44140625" style="152" customWidth="1"/>
    <col min="30" max="30" width="5.44140625" style="152" bestFit="1" customWidth="1"/>
    <col min="31" max="31" width="26.6640625" style="152" customWidth="1"/>
    <col min="32" max="32" width="22.6640625" style="156" customWidth="1"/>
    <col min="33" max="36" width="22.6640625" style="156" hidden="1" customWidth="1"/>
    <col min="37" max="37" width="23.44140625" style="152" hidden="1" customWidth="1"/>
    <col min="38" max="265" width="11.44140625" style="152" hidden="1" customWidth="1"/>
    <col min="266" max="266" width="12.44140625" style="152" hidden="1" customWidth="1"/>
    <col min="267" max="267" width="47" style="152" hidden="1" customWidth="1"/>
    <col min="268" max="268" width="35" style="152" hidden="1" customWidth="1"/>
    <col min="269" max="16384" width="14.44140625" style="152" hidden="1"/>
  </cols>
  <sheetData>
    <row r="1" spans="1:38" s="132" customFormat="1" ht="13.2" x14ac:dyDescent="0.25">
      <c r="A1" s="134"/>
      <c r="B1" s="126"/>
      <c r="C1" s="126"/>
      <c r="D1" s="126"/>
      <c r="E1" s="195"/>
      <c r="F1" s="195"/>
      <c r="G1" s="126"/>
      <c r="H1" s="126"/>
      <c r="N1" s="131"/>
      <c r="O1" s="131"/>
      <c r="P1" s="126"/>
      <c r="AF1" s="133"/>
      <c r="AG1" s="133"/>
      <c r="AH1" s="133"/>
      <c r="AI1" s="133"/>
      <c r="AJ1" s="133"/>
    </row>
    <row r="2" spans="1:38" s="132" customFormat="1" ht="33" customHeight="1" x14ac:dyDescent="0.25">
      <c r="A2" s="471" t="s">
        <v>491</v>
      </c>
      <c r="B2" s="472"/>
      <c r="C2" s="472"/>
      <c r="D2" s="473"/>
      <c r="E2" s="197"/>
      <c r="F2" s="195"/>
      <c r="G2" s="126"/>
      <c r="H2" s="126"/>
      <c r="I2" s="203"/>
      <c r="J2" s="203"/>
      <c r="K2" s="142"/>
      <c r="L2" s="142"/>
      <c r="M2" s="142"/>
      <c r="N2" s="131"/>
      <c r="O2" s="131"/>
      <c r="P2" s="126"/>
      <c r="AF2" s="133"/>
      <c r="AG2" s="133"/>
      <c r="AH2" s="133"/>
      <c r="AI2" s="133"/>
      <c r="AJ2" s="133"/>
    </row>
    <row r="3" spans="1:38" s="132" customFormat="1" ht="33" customHeight="1" x14ac:dyDescent="0.25">
      <c r="A3" s="140" t="s">
        <v>1</v>
      </c>
      <c r="B3" s="240" t="str">
        <f>'2. MATRIZ DE RIESGOS'!D6</f>
        <v>Gestión Social</v>
      </c>
      <c r="C3" s="241"/>
      <c r="D3" s="241"/>
      <c r="E3" s="197"/>
      <c r="F3" s="195"/>
      <c r="G3" s="126"/>
      <c r="H3" s="126"/>
      <c r="I3" s="203"/>
      <c r="J3" s="203"/>
      <c r="K3" s="142"/>
      <c r="L3" s="142"/>
      <c r="M3" s="142"/>
      <c r="N3" s="131"/>
      <c r="O3" s="131"/>
      <c r="P3" s="126"/>
      <c r="AF3" s="133"/>
      <c r="AG3" s="133"/>
      <c r="AH3" s="133"/>
      <c r="AI3" s="133"/>
      <c r="AJ3" s="133"/>
    </row>
    <row r="4" spans="1:38" s="132" customFormat="1" ht="14.4" thickBot="1" x14ac:dyDescent="0.3">
      <c r="D4" s="197"/>
      <c r="E4" s="197"/>
      <c r="F4" s="198"/>
      <c r="AF4" s="133"/>
      <c r="AG4" s="133"/>
      <c r="AH4" s="133"/>
      <c r="AI4" s="133"/>
      <c r="AJ4" s="133"/>
    </row>
    <row r="5" spans="1:38" s="132" customFormat="1" ht="13.8" thickBot="1" x14ac:dyDescent="0.3">
      <c r="A5" s="474" t="s">
        <v>468</v>
      </c>
      <c r="B5" s="475"/>
      <c r="C5" s="475"/>
      <c r="D5" s="475"/>
      <c r="E5" s="475"/>
      <c r="F5" s="475"/>
      <c r="G5" s="476"/>
      <c r="I5" s="474" t="s">
        <v>487</v>
      </c>
      <c r="J5" s="475"/>
      <c r="K5" s="475"/>
      <c r="L5" s="475"/>
      <c r="M5" s="475"/>
      <c r="N5" s="475"/>
      <c r="O5" s="476"/>
      <c r="R5" s="143"/>
      <c r="S5" s="144"/>
      <c r="T5" s="453" t="s">
        <v>469</v>
      </c>
      <c r="U5" s="453"/>
      <c r="V5" s="453"/>
      <c r="W5" s="453"/>
      <c r="X5" s="454"/>
      <c r="AF5" s="133"/>
      <c r="AG5" s="133"/>
      <c r="AH5" s="133"/>
      <c r="AI5" s="133"/>
      <c r="AJ5" s="133"/>
    </row>
    <row r="6" spans="1:38" ht="13.2" x14ac:dyDescent="0.3">
      <c r="A6" s="149"/>
      <c r="B6" s="150"/>
      <c r="C6" s="453" t="s">
        <v>469</v>
      </c>
      <c r="D6" s="453"/>
      <c r="E6" s="453"/>
      <c r="F6" s="453"/>
      <c r="G6" s="454"/>
      <c r="H6" s="148"/>
      <c r="I6" s="149"/>
      <c r="J6" s="150"/>
      <c r="K6" s="453" t="s">
        <v>469</v>
      </c>
      <c r="L6" s="453"/>
      <c r="M6" s="453"/>
      <c r="N6" s="453"/>
      <c r="O6" s="454"/>
      <c r="P6" s="148"/>
      <c r="R6" s="151"/>
      <c r="T6" s="153">
        <v>0.2</v>
      </c>
      <c r="U6" s="153">
        <v>0.4</v>
      </c>
      <c r="V6" s="153">
        <v>0.6</v>
      </c>
      <c r="W6" s="153">
        <v>0.8</v>
      </c>
      <c r="X6" s="154">
        <v>1</v>
      </c>
      <c r="Y6" s="155"/>
      <c r="Z6" s="155"/>
      <c r="AA6" s="155"/>
      <c r="AB6" s="155"/>
      <c r="AC6" s="155"/>
      <c r="AD6" s="155"/>
      <c r="AE6" s="155"/>
    </row>
    <row r="7" spans="1:38" ht="13.2" x14ac:dyDescent="0.25">
      <c r="A7" s="151"/>
      <c r="B7" s="160"/>
      <c r="C7" s="161" t="s">
        <v>476</v>
      </c>
      <c r="D7" s="161" t="s">
        <v>477</v>
      </c>
      <c r="E7" s="161" t="s">
        <v>15</v>
      </c>
      <c r="F7" s="161" t="s">
        <v>274</v>
      </c>
      <c r="G7" s="162" t="s">
        <v>417</v>
      </c>
      <c r="H7" s="148"/>
      <c r="I7" s="151"/>
      <c r="J7" s="160"/>
      <c r="K7" s="161" t="s">
        <v>476</v>
      </c>
      <c r="L7" s="161" t="s">
        <v>477</v>
      </c>
      <c r="M7" s="161" t="s">
        <v>15</v>
      </c>
      <c r="N7" s="161" t="s">
        <v>274</v>
      </c>
      <c r="O7" s="162" t="s">
        <v>417</v>
      </c>
      <c r="P7" s="148"/>
      <c r="R7" s="151"/>
      <c r="S7" s="163"/>
      <c r="T7" s="164" t="s">
        <v>476</v>
      </c>
      <c r="U7" s="164" t="s">
        <v>477</v>
      </c>
      <c r="V7" s="164" t="s">
        <v>15</v>
      </c>
      <c r="W7" s="164" t="s">
        <v>274</v>
      </c>
      <c r="X7" s="165" t="s">
        <v>417</v>
      </c>
      <c r="AA7" s="155"/>
      <c r="AB7" s="155"/>
      <c r="AC7" s="166"/>
      <c r="AD7" s="166"/>
      <c r="AE7" s="166"/>
      <c r="AF7" s="166"/>
      <c r="AG7" s="166"/>
      <c r="AH7" s="166"/>
      <c r="AI7" s="166"/>
      <c r="AJ7" s="166"/>
      <c r="AK7" s="166"/>
      <c r="AL7" s="166"/>
    </row>
    <row r="8" spans="1:38" ht="55.5" customHeight="1" x14ac:dyDescent="0.25">
      <c r="A8" s="456" t="s">
        <v>478</v>
      </c>
      <c r="B8" s="161" t="s">
        <v>479</v>
      </c>
      <c r="C8" s="171" t="str">
        <f>+'MAPA CALOR INHERENTE'!I7</f>
        <v xml:space="preserve">                   </v>
      </c>
      <c r="D8" s="171" t="str">
        <f>+'MAPA CALOR INHERENTE'!J7</f>
        <v xml:space="preserve">                   </v>
      </c>
      <c r="E8" s="171" t="str">
        <f>+'MAPA CALOR INHERENTE'!K7</f>
        <v xml:space="preserve">                   </v>
      </c>
      <c r="F8" s="171" t="str">
        <f>+'MAPA CALOR INHERENTE'!L7</f>
        <v xml:space="preserve">                   </v>
      </c>
      <c r="G8" s="172" t="str">
        <f>+'MAPA CALOR INHERENTE'!M7</f>
        <v xml:space="preserve">                   </v>
      </c>
      <c r="H8" s="170"/>
      <c r="I8" s="456" t="s">
        <v>478</v>
      </c>
      <c r="J8" s="161" t="s">
        <v>479</v>
      </c>
      <c r="K8" s="171" t="str">
        <f>+'MAPA CALOR RESIDUAL'!K7</f>
        <v xml:space="preserve">                   </v>
      </c>
      <c r="L8" s="171" t="str">
        <f>+'MAPA CALOR RESIDUAL'!L7</f>
        <v xml:space="preserve">                   </v>
      </c>
      <c r="M8" s="171" t="str">
        <f>+'MAPA CALOR RESIDUAL'!M7</f>
        <v xml:space="preserve">                   </v>
      </c>
      <c r="N8" s="171" t="str">
        <f>+'MAPA CALOR RESIDUAL'!N7</f>
        <v xml:space="preserve">                   </v>
      </c>
      <c r="O8" s="172" t="str">
        <f>+'MAPA CALOR RESIDUAL'!O7</f>
        <v xml:space="preserve">                   </v>
      </c>
      <c r="P8" s="170"/>
      <c r="Q8" s="477" t="s">
        <v>478</v>
      </c>
      <c r="R8" s="173">
        <v>1</v>
      </c>
      <c r="S8" s="164" t="s">
        <v>479</v>
      </c>
      <c r="T8" s="171" t="s">
        <v>13</v>
      </c>
      <c r="U8" s="171" t="s">
        <v>13</v>
      </c>
      <c r="V8" s="171" t="s">
        <v>13</v>
      </c>
      <c r="W8" s="171" t="s">
        <v>13</v>
      </c>
      <c r="X8" s="172" t="s">
        <v>11</v>
      </c>
      <c r="AA8" s="155"/>
      <c r="AB8" s="155"/>
      <c r="AC8" s="166"/>
      <c r="AD8" s="166"/>
      <c r="AE8" s="166"/>
      <c r="AF8" s="174"/>
      <c r="AG8" s="174"/>
      <c r="AH8" s="174"/>
      <c r="AI8" s="174"/>
      <c r="AJ8" s="174"/>
      <c r="AK8" s="166"/>
      <c r="AL8" s="166"/>
    </row>
    <row r="9" spans="1:38" ht="55.5" customHeight="1" x14ac:dyDescent="0.25">
      <c r="A9" s="456"/>
      <c r="B9" s="161" t="s">
        <v>157</v>
      </c>
      <c r="C9" s="175" t="str">
        <f>+'MAPA CALOR INHERENTE'!I8</f>
        <v xml:space="preserve">                   </v>
      </c>
      <c r="D9" s="175" t="str">
        <f>+'MAPA CALOR INHERENTE'!J8</f>
        <v xml:space="preserve">                   </v>
      </c>
      <c r="E9" s="171" t="str">
        <f>+'MAPA CALOR INHERENTE'!K8</f>
        <v xml:space="preserve">GS6 GS8 GS9                 </v>
      </c>
      <c r="F9" s="171" t="str">
        <f>+'MAPA CALOR INHERENTE'!L8</f>
        <v xml:space="preserve">    GS14    GS19           </v>
      </c>
      <c r="G9" s="172" t="str">
        <f>+'MAPA CALOR INHERENTE'!M8</f>
        <v xml:space="preserve">              GS13     </v>
      </c>
      <c r="H9" s="170"/>
      <c r="I9" s="456"/>
      <c r="J9" s="161" t="s">
        <v>157</v>
      </c>
      <c r="K9" s="175" t="str">
        <f>+'MAPA CALOR RESIDUAL'!K8</f>
        <v xml:space="preserve">                   </v>
      </c>
      <c r="L9" s="175" t="str">
        <f>+'MAPA CALOR RESIDUAL'!L8</f>
        <v xml:space="preserve">                   </v>
      </c>
      <c r="M9" s="171" t="s">
        <v>492</v>
      </c>
      <c r="N9" s="171" t="str">
        <f>+'MAPA CALOR RESIDUAL'!N8</f>
        <v xml:space="preserve">                   </v>
      </c>
      <c r="O9" s="172" t="str">
        <f>+'MAPA CALOR RESIDUAL'!O8</f>
        <v xml:space="preserve">                   </v>
      </c>
      <c r="P9" s="170"/>
      <c r="Q9" s="477"/>
      <c r="R9" s="173">
        <v>0.8</v>
      </c>
      <c r="S9" s="164" t="s">
        <v>157</v>
      </c>
      <c r="T9" s="175" t="s">
        <v>15</v>
      </c>
      <c r="U9" s="175" t="s">
        <v>15</v>
      </c>
      <c r="V9" s="171" t="s">
        <v>13</v>
      </c>
      <c r="W9" s="171" t="s">
        <v>13</v>
      </c>
      <c r="X9" s="172" t="s">
        <v>11</v>
      </c>
      <c r="AA9" s="155"/>
      <c r="AB9" s="155"/>
      <c r="AC9" s="166"/>
      <c r="AD9" s="176"/>
      <c r="AE9" s="177"/>
      <c r="AF9" s="174"/>
      <c r="AG9" s="174"/>
      <c r="AH9" s="174"/>
      <c r="AI9" s="174"/>
      <c r="AJ9" s="174"/>
      <c r="AK9" s="166"/>
      <c r="AL9" s="166"/>
    </row>
    <row r="10" spans="1:38" ht="55.5" customHeight="1" x14ac:dyDescent="0.25">
      <c r="A10" s="456"/>
      <c r="B10" s="161" t="s">
        <v>255</v>
      </c>
      <c r="C10" s="175" t="str">
        <f>+'MAPA CALOR INHERENTE'!I9</f>
        <v xml:space="preserve">                   </v>
      </c>
      <c r="D10" s="175" t="str">
        <f>+'MAPA CALOR INHERENTE'!J9</f>
        <v xml:space="preserve">                   </v>
      </c>
      <c r="E10" s="175" t="str">
        <f>+'MAPA CALOR INHERENTE'!K9</f>
        <v xml:space="preserve">   GS10   GS16 GS17     GS16 GS20      </v>
      </c>
      <c r="F10" s="171" t="str">
        <f>+'MAPA CALOR INHERENTE'!L9</f>
        <v xml:space="preserve">           GS18        </v>
      </c>
      <c r="G10" s="172" t="str">
        <f>+'MAPA CALOR INHERENTE'!M9</f>
        <v xml:space="preserve">                   </v>
      </c>
      <c r="H10" s="170"/>
      <c r="I10" s="456"/>
      <c r="J10" s="161" t="s">
        <v>255</v>
      </c>
      <c r="K10" s="175" t="str">
        <f>+'MAPA CALOR RESIDUAL'!K9</f>
        <v xml:space="preserve">                   </v>
      </c>
      <c r="L10" s="175" t="str">
        <f>+'MAPA CALOR RESIDUAL'!L9</f>
        <v xml:space="preserve">       GS17            </v>
      </c>
      <c r="M10" s="175" t="str">
        <f>+'MAPA CALOR RESIDUAL'!M9</f>
        <v xml:space="preserve">            GS20       </v>
      </c>
      <c r="N10" s="171" t="str">
        <f>+'MAPA CALOR RESIDUAL'!N9</f>
        <v xml:space="preserve">                   </v>
      </c>
      <c r="O10" s="172" t="str">
        <f>+'MAPA CALOR RESIDUAL'!O9</f>
        <v xml:space="preserve">                   </v>
      </c>
      <c r="P10" s="170"/>
      <c r="Q10" s="477"/>
      <c r="R10" s="173">
        <v>0.6</v>
      </c>
      <c r="S10" s="164" t="s">
        <v>255</v>
      </c>
      <c r="T10" s="175" t="s">
        <v>15</v>
      </c>
      <c r="U10" s="175" t="s">
        <v>15</v>
      </c>
      <c r="V10" s="175" t="s">
        <v>15</v>
      </c>
      <c r="W10" s="171" t="s">
        <v>13</v>
      </c>
      <c r="X10" s="172" t="s">
        <v>11</v>
      </c>
      <c r="AA10" s="155"/>
      <c r="AB10" s="155"/>
      <c r="AC10" s="166"/>
      <c r="AD10" s="176"/>
      <c r="AE10" s="177"/>
      <c r="AF10" s="174"/>
      <c r="AG10" s="174"/>
      <c r="AH10" s="174"/>
      <c r="AI10" s="174"/>
      <c r="AJ10" s="178"/>
      <c r="AK10" s="166"/>
      <c r="AL10" s="166"/>
    </row>
    <row r="11" spans="1:38" ht="55.5" customHeight="1" x14ac:dyDescent="0.25">
      <c r="A11" s="456"/>
      <c r="B11" s="161" t="s">
        <v>366</v>
      </c>
      <c r="C11" s="179" t="s">
        <v>492</v>
      </c>
      <c r="D11" s="175" t="str">
        <f>+'MAPA CALOR INHERENTE'!J10</f>
        <v xml:space="preserve">                   </v>
      </c>
      <c r="E11" s="175" t="str">
        <f>+'MAPA CALOR INHERENTE'!K10</f>
        <v xml:space="preserve">                   </v>
      </c>
      <c r="F11" s="171" t="str">
        <f>+'MAPA CALOR INHERENTE'!L10</f>
        <v xml:space="preserve">          GS15         </v>
      </c>
      <c r="G11" s="172" t="str">
        <f>+'MAPA CALOR INHERENTE'!M10</f>
        <v xml:space="preserve">                   </v>
      </c>
      <c r="H11" s="170"/>
      <c r="I11" s="456"/>
      <c r="J11" s="161" t="s">
        <v>366</v>
      </c>
      <c r="K11" s="179" t="str">
        <f>+'MAPA CALOR RESIDUAL'!K10</f>
        <v xml:space="preserve">                   </v>
      </c>
      <c r="L11" s="175" t="str">
        <f>+'MAPA CALOR RESIDUAL'!L10</f>
        <v xml:space="preserve">                   </v>
      </c>
      <c r="M11" s="175" t="str">
        <f>+'MAPA CALOR RESIDUAL'!M10</f>
        <v xml:space="preserve">   GS10 GS14  GS16  GS19  GS15         </v>
      </c>
      <c r="N11" s="171" t="s">
        <v>492</v>
      </c>
      <c r="O11" s="172" t="str">
        <f>+'MAPA CALOR RESIDUAL'!O10</f>
        <v xml:space="preserve">                   </v>
      </c>
      <c r="P11" s="170"/>
      <c r="Q11" s="477"/>
      <c r="R11" s="173">
        <v>0.4</v>
      </c>
      <c r="S11" s="164" t="s">
        <v>366</v>
      </c>
      <c r="T11" s="179" t="s">
        <v>17</v>
      </c>
      <c r="U11" s="175" t="s">
        <v>15</v>
      </c>
      <c r="V11" s="175" t="s">
        <v>15</v>
      </c>
      <c r="W11" s="171" t="s">
        <v>13</v>
      </c>
      <c r="X11" s="172" t="s">
        <v>11</v>
      </c>
      <c r="AA11" s="155"/>
      <c r="AB11" s="155"/>
      <c r="AC11" s="166"/>
      <c r="AD11" s="176"/>
      <c r="AE11" s="177"/>
      <c r="AF11" s="174"/>
      <c r="AG11" s="174"/>
      <c r="AH11" s="174"/>
      <c r="AI11" s="178"/>
      <c r="AJ11" s="174"/>
      <c r="AK11" s="166"/>
      <c r="AL11" s="166"/>
    </row>
    <row r="12" spans="1:38" ht="55.5" customHeight="1" thickBot="1" x14ac:dyDescent="0.3">
      <c r="A12" s="457"/>
      <c r="B12" s="180" t="s">
        <v>294</v>
      </c>
      <c r="C12" s="181" t="str">
        <f>+'MAPA CALOR INHERENTE'!I11</f>
        <v xml:space="preserve">                   </v>
      </c>
      <c r="D12" s="181" t="str">
        <f>+'MAPA CALOR INHERENTE'!J11</f>
        <v xml:space="preserve">                   </v>
      </c>
      <c r="E12" s="182" t="str">
        <f>+'MAPA CALOR INHERENTE'!K11</f>
        <v xml:space="preserve">     GS11    GS11          </v>
      </c>
      <c r="F12" s="183" t="str">
        <f>+'MAPA CALOR INHERENTE'!L11</f>
        <v xml:space="preserve">                   </v>
      </c>
      <c r="G12" s="184" t="str">
        <f>+'MAPA CALOR INHERENTE'!M11</f>
        <v xml:space="preserve">                   </v>
      </c>
      <c r="H12" s="170"/>
      <c r="I12" s="457"/>
      <c r="J12" s="180" t="s">
        <v>294</v>
      </c>
      <c r="K12" s="181" t="str">
        <f>+'MAPA CALOR RESIDUAL'!K11</f>
        <v xml:space="preserve">                   </v>
      </c>
      <c r="L12" s="181" t="str">
        <f>+'MAPA CALOR RESIDUAL'!L11</f>
        <v xml:space="preserve">                   </v>
      </c>
      <c r="M12" s="182" t="str">
        <f>+'MAPA CALOR RESIDUAL'!M11</f>
        <v xml:space="preserve">GS6 GS8 GS9   GS11    GS11  GS18  GS13      </v>
      </c>
      <c r="N12" s="183" t="str">
        <f>+'MAPA CALOR RESIDUAL'!N11</f>
        <v xml:space="preserve">                   </v>
      </c>
      <c r="O12" s="184" t="str">
        <f>+'MAPA CALOR RESIDUAL'!O11</f>
        <v xml:space="preserve">                   </v>
      </c>
      <c r="P12" s="170"/>
      <c r="Q12" s="477"/>
      <c r="R12" s="185">
        <v>0.2</v>
      </c>
      <c r="S12" s="186" t="s">
        <v>294</v>
      </c>
      <c r="T12" s="181" t="s">
        <v>17</v>
      </c>
      <c r="U12" s="181" t="s">
        <v>17</v>
      </c>
      <c r="V12" s="182" t="s">
        <v>15</v>
      </c>
      <c r="W12" s="183" t="s">
        <v>13</v>
      </c>
      <c r="X12" s="184" t="s">
        <v>11</v>
      </c>
      <c r="AA12" s="155"/>
      <c r="AB12" s="155"/>
      <c r="AC12" s="166"/>
      <c r="AD12" s="176"/>
      <c r="AE12" s="177"/>
      <c r="AF12" s="174"/>
      <c r="AG12" s="174"/>
      <c r="AH12" s="174"/>
      <c r="AI12" s="187"/>
      <c r="AJ12" s="174"/>
      <c r="AK12" s="166"/>
      <c r="AL12" s="166"/>
    </row>
    <row r="13" spans="1:38" ht="13.2" x14ac:dyDescent="0.25">
      <c r="A13" s="156"/>
      <c r="B13" s="170"/>
      <c r="C13" s="204"/>
      <c r="D13" s="205"/>
      <c r="E13" s="206"/>
      <c r="F13" s="206"/>
      <c r="G13" s="170"/>
      <c r="H13" s="170"/>
      <c r="I13" s="170"/>
      <c r="J13" s="170"/>
      <c r="K13" s="170"/>
      <c r="L13" s="170"/>
      <c r="M13" s="170"/>
      <c r="N13" s="170"/>
      <c r="O13" s="170"/>
      <c r="P13" s="170"/>
      <c r="AA13" s="155"/>
      <c r="AB13" s="155"/>
      <c r="AC13" s="166"/>
      <c r="AD13" s="176"/>
      <c r="AE13" s="177"/>
      <c r="AF13" s="174"/>
      <c r="AG13" s="174"/>
      <c r="AH13" s="174"/>
      <c r="AI13" s="174"/>
      <c r="AJ13" s="174"/>
      <c r="AK13" s="166"/>
      <c r="AL13" s="166"/>
    </row>
    <row r="14" spans="1:38" ht="26.4" x14ac:dyDescent="0.25">
      <c r="A14" s="156"/>
      <c r="B14" s="170"/>
      <c r="C14" s="204"/>
      <c r="D14" s="205"/>
      <c r="E14" s="206"/>
      <c r="F14" s="206"/>
      <c r="G14" s="170"/>
      <c r="H14" s="170"/>
      <c r="I14" s="170"/>
      <c r="J14" s="170"/>
      <c r="K14" s="170"/>
      <c r="L14" s="170"/>
      <c r="M14" s="170"/>
      <c r="N14" s="170"/>
      <c r="O14" s="170"/>
      <c r="P14" s="170"/>
      <c r="T14" s="147" t="s">
        <v>9</v>
      </c>
      <c r="V14" s="155"/>
      <c r="W14" s="155"/>
      <c r="X14" s="155"/>
      <c r="Y14" s="155"/>
      <c r="Z14" s="155"/>
      <c r="AA14" s="155"/>
      <c r="AB14" s="155"/>
      <c r="AC14" s="166"/>
      <c r="AD14" s="176"/>
      <c r="AE14" s="166"/>
      <c r="AF14" s="177"/>
      <c r="AG14" s="177"/>
      <c r="AH14" s="177"/>
      <c r="AI14" s="177"/>
      <c r="AJ14" s="177"/>
      <c r="AK14" s="166"/>
      <c r="AL14" s="166"/>
    </row>
    <row r="15" spans="1:38" ht="13.2" x14ac:dyDescent="0.25">
      <c r="A15" s="156"/>
      <c r="B15" s="170"/>
      <c r="C15" s="204"/>
      <c r="D15" s="205"/>
      <c r="E15" s="206"/>
      <c r="F15" s="206"/>
      <c r="G15" s="170"/>
      <c r="H15" s="170"/>
      <c r="I15" s="170"/>
      <c r="J15" s="170"/>
      <c r="K15" s="170"/>
      <c r="L15" s="170"/>
      <c r="M15" s="170"/>
      <c r="N15" s="170"/>
      <c r="O15" s="170"/>
      <c r="P15" s="170"/>
      <c r="T15" s="188" t="s">
        <v>11</v>
      </c>
      <c r="V15" s="155"/>
      <c r="W15" s="155"/>
      <c r="X15" s="155"/>
      <c r="Y15" s="155"/>
      <c r="Z15" s="155"/>
      <c r="AA15" s="155"/>
      <c r="AB15" s="155"/>
      <c r="AC15" s="166"/>
      <c r="AD15" s="166"/>
      <c r="AE15" s="166"/>
      <c r="AF15" s="174"/>
      <c r="AG15" s="174"/>
      <c r="AH15" s="174"/>
      <c r="AI15" s="174"/>
      <c r="AJ15" s="174"/>
      <c r="AK15" s="166"/>
      <c r="AL15" s="166"/>
    </row>
    <row r="16" spans="1:38" ht="13.2" x14ac:dyDescent="0.25">
      <c r="A16" s="156"/>
      <c r="B16" s="170"/>
      <c r="C16" s="204"/>
      <c r="D16" s="205"/>
      <c r="E16" s="206"/>
      <c r="F16" s="206"/>
      <c r="G16" s="170"/>
      <c r="H16" s="170"/>
      <c r="I16" s="170"/>
      <c r="J16" s="170"/>
      <c r="K16" s="170"/>
      <c r="L16" s="170"/>
      <c r="M16" s="170"/>
      <c r="N16" s="170"/>
      <c r="O16" s="170"/>
      <c r="P16" s="170"/>
      <c r="T16" s="171" t="s">
        <v>13</v>
      </c>
      <c r="U16" s="155"/>
      <c r="V16" s="155"/>
      <c r="W16" s="155"/>
      <c r="X16" s="155"/>
      <c r="Y16" s="155"/>
      <c r="Z16" s="155"/>
      <c r="AA16" s="155"/>
      <c r="AB16" s="155"/>
      <c r="AC16" s="166"/>
      <c r="AD16" s="166"/>
      <c r="AE16" s="166"/>
      <c r="AF16" s="174"/>
      <c r="AG16" s="174"/>
      <c r="AH16" s="174"/>
      <c r="AI16" s="174"/>
      <c r="AJ16" s="174"/>
      <c r="AK16" s="166"/>
      <c r="AL16" s="166"/>
    </row>
    <row r="17" spans="1:38" ht="13.2" x14ac:dyDescent="0.25">
      <c r="A17" s="156"/>
      <c r="B17" s="170"/>
      <c r="C17" s="204"/>
      <c r="D17" s="205"/>
      <c r="E17" s="206"/>
      <c r="F17" s="206"/>
      <c r="G17" s="170"/>
      <c r="H17" s="170"/>
      <c r="I17" s="170"/>
      <c r="J17" s="170"/>
      <c r="K17" s="170"/>
      <c r="L17" s="170"/>
      <c r="M17" s="170"/>
      <c r="N17" s="170"/>
      <c r="O17" s="170"/>
      <c r="P17" s="170"/>
      <c r="S17" s="189"/>
      <c r="T17" s="175" t="s">
        <v>15</v>
      </c>
      <c r="U17" s="189"/>
      <c r="V17" s="189"/>
      <c r="W17" s="189"/>
      <c r="X17" s="189"/>
      <c r="Y17" s="189"/>
      <c r="Z17" s="189"/>
      <c r="AA17" s="189"/>
      <c r="AB17" s="189"/>
      <c r="AC17" s="166"/>
      <c r="AD17" s="166"/>
      <c r="AE17" s="190"/>
      <c r="AF17" s="190"/>
      <c r="AG17" s="190"/>
      <c r="AH17" s="190"/>
      <c r="AI17" s="190"/>
      <c r="AJ17" s="190"/>
      <c r="AK17" s="166"/>
      <c r="AL17" s="166"/>
    </row>
    <row r="18" spans="1:38" ht="13.2" x14ac:dyDescent="0.25">
      <c r="A18" s="156"/>
      <c r="B18" s="170"/>
      <c r="C18" s="204"/>
      <c r="D18" s="205"/>
      <c r="E18" s="206"/>
      <c r="F18" s="206"/>
      <c r="G18" s="170"/>
      <c r="H18" s="170"/>
      <c r="I18" s="170"/>
      <c r="J18" s="170"/>
      <c r="K18" s="170"/>
      <c r="L18" s="170"/>
      <c r="M18" s="170"/>
      <c r="N18" s="170"/>
      <c r="O18" s="170"/>
      <c r="P18" s="170"/>
      <c r="S18" s="189"/>
      <c r="T18" s="179" t="s">
        <v>17</v>
      </c>
      <c r="AA18" s="189"/>
      <c r="AB18" s="189"/>
      <c r="AC18" s="166"/>
      <c r="AD18" s="166"/>
      <c r="AE18" s="166"/>
      <c r="AF18" s="174"/>
      <c r="AG18" s="174"/>
      <c r="AH18" s="174"/>
      <c r="AI18" s="174"/>
      <c r="AJ18" s="174"/>
      <c r="AK18" s="166"/>
      <c r="AL18" s="166"/>
    </row>
    <row r="19" spans="1:38" ht="13.2" x14ac:dyDescent="0.25">
      <c r="A19" s="156"/>
      <c r="B19" s="170"/>
      <c r="C19" s="204"/>
      <c r="D19" s="205"/>
      <c r="E19" s="206"/>
      <c r="F19" s="206"/>
      <c r="G19" s="170"/>
      <c r="H19" s="170"/>
      <c r="I19" s="170"/>
      <c r="J19" s="170"/>
      <c r="K19" s="170"/>
      <c r="L19" s="170"/>
      <c r="M19" s="170"/>
      <c r="N19" s="170"/>
      <c r="O19" s="170"/>
      <c r="P19" s="170"/>
      <c r="Q19" s="191"/>
      <c r="R19" s="191"/>
      <c r="S19" s="189"/>
      <c r="AA19" s="189"/>
      <c r="AB19" s="189"/>
      <c r="AC19" s="166"/>
      <c r="AD19" s="166"/>
      <c r="AE19" s="166"/>
      <c r="AF19" s="174"/>
      <c r="AG19" s="174"/>
      <c r="AH19" s="174"/>
      <c r="AI19" s="174"/>
      <c r="AJ19" s="174"/>
      <c r="AK19" s="166"/>
      <c r="AL19" s="166"/>
    </row>
    <row r="20" spans="1:38" ht="13.2" x14ac:dyDescent="0.25">
      <c r="A20" s="156"/>
      <c r="B20" s="170"/>
      <c r="C20" s="204"/>
      <c r="D20" s="205"/>
      <c r="E20" s="206"/>
      <c r="F20" s="206"/>
      <c r="G20" s="170"/>
      <c r="H20" s="170"/>
      <c r="I20" s="170"/>
      <c r="J20" s="170"/>
      <c r="K20" s="170"/>
      <c r="L20" s="170"/>
      <c r="M20" s="170"/>
      <c r="N20" s="170"/>
      <c r="O20" s="170"/>
      <c r="P20" s="170"/>
      <c r="Q20" s="191"/>
      <c r="R20" s="191"/>
      <c r="S20" s="192"/>
      <c r="AA20" s="189"/>
      <c r="AB20" s="189"/>
      <c r="AC20" s="166"/>
      <c r="AD20" s="187"/>
      <c r="AE20" s="187"/>
      <c r="AF20" s="187"/>
      <c r="AG20" s="187"/>
      <c r="AH20" s="187"/>
      <c r="AI20" s="187"/>
      <c r="AJ20" s="174"/>
      <c r="AK20" s="166"/>
      <c r="AL20" s="166"/>
    </row>
    <row r="21" spans="1:38" ht="13.2" x14ac:dyDescent="0.25">
      <c r="A21" s="156"/>
      <c r="B21" s="170"/>
      <c r="C21" s="204"/>
      <c r="D21" s="205"/>
      <c r="E21" s="206"/>
      <c r="F21" s="206"/>
      <c r="G21" s="170"/>
      <c r="H21" s="170"/>
      <c r="I21" s="170"/>
      <c r="J21" s="170"/>
      <c r="K21" s="170"/>
      <c r="L21" s="170"/>
      <c r="M21" s="170"/>
      <c r="N21" s="170"/>
      <c r="O21" s="170"/>
      <c r="P21" s="170"/>
      <c r="Q21" s="191"/>
      <c r="R21" s="191"/>
      <c r="AC21" s="166"/>
      <c r="AD21" s="193"/>
      <c r="AE21" s="193"/>
      <c r="AF21" s="193"/>
      <c r="AG21" s="193"/>
      <c r="AH21" s="193"/>
      <c r="AI21" s="193"/>
      <c r="AJ21" s="174"/>
      <c r="AK21" s="166"/>
      <c r="AL21" s="166"/>
    </row>
    <row r="22" spans="1:38" ht="13.2" x14ac:dyDescent="0.25">
      <c r="A22" s="156"/>
      <c r="B22" s="170"/>
      <c r="C22" s="204"/>
      <c r="D22" s="205"/>
      <c r="E22" s="206"/>
      <c r="F22" s="206"/>
      <c r="G22" s="170"/>
      <c r="H22" s="170"/>
      <c r="I22" s="170"/>
      <c r="J22" s="170"/>
      <c r="K22" s="170"/>
      <c r="L22" s="170"/>
      <c r="M22" s="170"/>
      <c r="N22" s="170"/>
      <c r="O22" s="170"/>
      <c r="P22" s="170"/>
      <c r="Q22" s="191"/>
      <c r="R22" s="191"/>
      <c r="AC22" s="166"/>
      <c r="AD22" s="187"/>
      <c r="AE22" s="187"/>
      <c r="AF22" s="187"/>
      <c r="AG22" s="187"/>
      <c r="AH22" s="187"/>
      <c r="AI22" s="187"/>
      <c r="AJ22" s="174"/>
      <c r="AK22" s="166"/>
      <c r="AL22" s="166"/>
    </row>
    <row r="23" spans="1:38" ht="13.2" x14ac:dyDescent="0.25">
      <c r="A23" s="156"/>
      <c r="B23" s="170"/>
      <c r="C23" s="204"/>
      <c r="D23" s="205"/>
      <c r="E23" s="206"/>
      <c r="F23" s="206"/>
      <c r="G23" s="170"/>
      <c r="H23" s="170"/>
      <c r="I23" s="170"/>
      <c r="J23" s="170"/>
      <c r="K23" s="170"/>
      <c r="L23" s="170"/>
      <c r="M23" s="170"/>
      <c r="N23" s="170"/>
      <c r="O23" s="170"/>
      <c r="P23" s="170"/>
      <c r="AC23" s="166"/>
      <c r="AD23" s="187"/>
      <c r="AE23" s="187"/>
      <c r="AF23" s="187"/>
      <c r="AG23" s="187"/>
      <c r="AH23" s="187"/>
      <c r="AI23" s="187"/>
      <c r="AJ23" s="174"/>
      <c r="AK23" s="166"/>
      <c r="AL23" s="166"/>
    </row>
    <row r="24" spans="1:38" ht="13.2" x14ac:dyDescent="0.3">
      <c r="A24" s="156"/>
      <c r="B24" s="170"/>
      <c r="C24" s="204"/>
      <c r="D24" s="205"/>
      <c r="E24" s="206"/>
      <c r="F24" s="206"/>
      <c r="G24" s="170"/>
      <c r="H24" s="170"/>
      <c r="I24" s="170"/>
      <c r="J24" s="170"/>
      <c r="K24" s="170"/>
      <c r="L24" s="170"/>
      <c r="M24" s="170"/>
      <c r="N24" s="170"/>
      <c r="O24" s="170"/>
      <c r="P24" s="170"/>
    </row>
    <row r="25" spans="1:38" ht="13.2" x14ac:dyDescent="0.3">
      <c r="A25" s="156"/>
      <c r="B25" s="170"/>
      <c r="C25" s="204"/>
      <c r="D25" s="205"/>
      <c r="E25" s="206"/>
      <c r="F25" s="206"/>
      <c r="G25" s="170"/>
      <c r="H25" s="170"/>
      <c r="I25" s="170"/>
      <c r="J25" s="170"/>
      <c r="K25" s="170"/>
      <c r="L25" s="170"/>
      <c r="M25" s="170"/>
      <c r="N25" s="170"/>
      <c r="O25" s="170"/>
      <c r="P25" s="170"/>
    </row>
    <row r="26" spans="1:38" ht="13.2" x14ac:dyDescent="0.3">
      <c r="A26" s="156"/>
      <c r="B26" s="170"/>
      <c r="C26" s="204"/>
      <c r="D26" s="205"/>
      <c r="E26" s="206"/>
      <c r="F26" s="206"/>
      <c r="G26" s="170"/>
      <c r="H26" s="170"/>
      <c r="I26" s="170"/>
      <c r="J26" s="170"/>
      <c r="K26" s="170"/>
      <c r="L26" s="170"/>
      <c r="M26" s="170"/>
      <c r="N26" s="170"/>
      <c r="O26" s="170"/>
      <c r="P26" s="170"/>
    </row>
    <row r="27" spans="1:38" ht="13.2" x14ac:dyDescent="0.3">
      <c r="A27" s="156"/>
      <c r="B27" s="170"/>
      <c r="C27" s="204"/>
      <c r="D27" s="205"/>
      <c r="E27" s="206"/>
      <c r="F27" s="206"/>
      <c r="G27" s="170"/>
      <c r="H27" s="170"/>
      <c r="I27" s="170"/>
      <c r="J27" s="170"/>
      <c r="K27" s="170"/>
      <c r="L27" s="170"/>
      <c r="M27" s="170"/>
      <c r="N27" s="170"/>
      <c r="O27" s="170"/>
      <c r="P27" s="170"/>
    </row>
    <row r="28" spans="1:38" ht="14.7" customHeight="1" x14ac:dyDescent="0.3">
      <c r="B28" s="152"/>
      <c r="D28" s="152"/>
      <c r="G28" s="152"/>
      <c r="H28" s="152"/>
      <c r="I28" s="152"/>
      <c r="J28" s="152"/>
      <c r="K28" s="152"/>
      <c r="L28" s="152"/>
      <c r="M28" s="152"/>
      <c r="N28" s="152"/>
      <c r="O28" s="152"/>
      <c r="P28" s="152"/>
      <c r="AA28" s="156"/>
      <c r="AB28" s="156"/>
      <c r="AC28" s="156"/>
      <c r="AD28" s="156"/>
      <c r="AE28" s="156"/>
      <c r="AF28" s="152"/>
      <c r="AG28" s="152"/>
      <c r="AH28" s="152"/>
      <c r="AI28" s="152"/>
      <c r="AJ28" s="152"/>
    </row>
    <row r="29" spans="1:38" ht="39" customHeight="1" x14ac:dyDescent="0.3">
      <c r="B29" s="152"/>
      <c r="D29" s="152"/>
      <c r="G29" s="152"/>
      <c r="H29" s="152"/>
      <c r="I29" s="152"/>
      <c r="J29" s="152"/>
      <c r="K29" s="152"/>
      <c r="L29" s="152"/>
      <c r="M29" s="152"/>
      <c r="N29" s="152"/>
      <c r="O29" s="152"/>
      <c r="P29" s="152"/>
      <c r="AA29" s="156"/>
      <c r="AB29" s="156"/>
      <c r="AC29" s="156"/>
      <c r="AD29" s="156"/>
      <c r="AE29" s="156"/>
      <c r="AF29" s="152"/>
      <c r="AG29" s="152"/>
      <c r="AH29" s="152"/>
      <c r="AI29" s="152"/>
      <c r="AJ29" s="152"/>
    </row>
    <row r="30" spans="1:38" ht="19.5" customHeight="1" x14ac:dyDescent="0.3">
      <c r="B30" s="152"/>
      <c r="D30" s="152"/>
      <c r="G30" s="152"/>
      <c r="H30" s="152"/>
      <c r="I30" s="152"/>
      <c r="J30" s="152"/>
      <c r="K30" s="152"/>
      <c r="L30" s="152"/>
      <c r="M30" s="152"/>
      <c r="N30" s="152"/>
      <c r="O30" s="152"/>
      <c r="P30" s="152"/>
      <c r="AA30" s="156"/>
      <c r="AB30" s="156"/>
      <c r="AC30" s="156"/>
      <c r="AD30" s="156"/>
      <c r="AE30" s="156"/>
      <c r="AF30" s="152"/>
      <c r="AG30" s="152"/>
      <c r="AH30" s="152"/>
      <c r="AI30" s="152"/>
      <c r="AJ30" s="152"/>
    </row>
    <row r="31" spans="1:38" ht="19.5" customHeight="1" x14ac:dyDescent="0.3">
      <c r="B31" s="152"/>
      <c r="D31" s="152"/>
      <c r="G31" s="152"/>
      <c r="H31" s="152"/>
      <c r="I31" s="152"/>
      <c r="J31" s="152"/>
      <c r="K31" s="152"/>
      <c r="L31" s="152"/>
      <c r="M31" s="152"/>
      <c r="N31" s="152"/>
      <c r="O31" s="152"/>
      <c r="P31" s="152"/>
      <c r="AA31" s="156"/>
      <c r="AB31" s="156"/>
      <c r="AC31" s="156"/>
      <c r="AD31" s="156"/>
      <c r="AE31" s="156"/>
      <c r="AF31" s="152"/>
      <c r="AG31" s="152"/>
      <c r="AH31" s="152"/>
      <c r="AI31" s="152"/>
      <c r="AJ31" s="152"/>
    </row>
    <row r="32" spans="1:38" ht="19.5" customHeight="1" x14ac:dyDescent="0.3">
      <c r="B32" s="152"/>
      <c r="D32" s="152"/>
      <c r="G32" s="152"/>
      <c r="H32" s="152"/>
      <c r="I32" s="152"/>
      <c r="J32" s="152"/>
      <c r="K32" s="152"/>
      <c r="L32" s="152"/>
      <c r="M32" s="152"/>
      <c r="N32" s="152"/>
      <c r="O32" s="152"/>
      <c r="P32" s="152"/>
      <c r="AA32" s="156"/>
      <c r="AB32" s="156"/>
      <c r="AC32" s="156"/>
      <c r="AD32" s="156"/>
      <c r="AE32" s="156"/>
      <c r="AF32" s="152"/>
      <c r="AG32" s="152"/>
      <c r="AH32" s="152"/>
      <c r="AI32" s="152"/>
      <c r="AJ32" s="152"/>
    </row>
    <row r="33" spans="2:36" ht="19.5" customHeight="1" x14ac:dyDescent="0.3">
      <c r="B33" s="152"/>
      <c r="D33" s="152"/>
      <c r="G33" s="152"/>
      <c r="H33" s="152"/>
      <c r="I33" s="152"/>
      <c r="J33" s="152"/>
      <c r="K33" s="152"/>
      <c r="L33" s="152"/>
      <c r="M33" s="152"/>
      <c r="N33" s="152"/>
      <c r="O33" s="152"/>
      <c r="P33" s="152"/>
      <c r="AA33" s="156"/>
      <c r="AB33" s="156"/>
      <c r="AC33" s="156"/>
      <c r="AD33" s="156"/>
      <c r="AE33" s="156"/>
      <c r="AF33" s="152"/>
      <c r="AG33" s="152"/>
      <c r="AH33" s="152"/>
      <c r="AI33" s="152"/>
      <c r="AJ33" s="152"/>
    </row>
    <row r="34" spans="2:36" ht="19.5" customHeight="1" x14ac:dyDescent="0.3">
      <c r="B34" s="152"/>
      <c r="D34" s="152"/>
      <c r="G34" s="152"/>
      <c r="H34" s="152"/>
      <c r="I34" s="152"/>
      <c r="J34" s="152"/>
      <c r="K34" s="152"/>
      <c r="L34" s="152"/>
      <c r="M34" s="152"/>
      <c r="N34" s="152"/>
      <c r="O34" s="152"/>
      <c r="P34" s="152"/>
      <c r="AA34" s="156"/>
      <c r="AB34" s="156"/>
      <c r="AC34" s="156"/>
      <c r="AD34" s="156"/>
      <c r="AE34" s="156"/>
      <c r="AF34" s="152"/>
      <c r="AG34" s="152"/>
      <c r="AH34" s="152"/>
      <c r="AI34" s="152"/>
      <c r="AJ34" s="152"/>
    </row>
    <row r="35" spans="2:36" ht="13.2" x14ac:dyDescent="0.3"/>
    <row r="36" spans="2:36" ht="13.2" x14ac:dyDescent="0.3"/>
    <row r="37" spans="2:36" ht="13.2" x14ac:dyDescent="0.3"/>
    <row r="38" spans="2:36" ht="13.2" x14ac:dyDescent="0.3"/>
    <row r="39" spans="2:36" ht="13.2" x14ac:dyDescent="0.3"/>
    <row r="40" spans="2:36" ht="13.2" x14ac:dyDescent="0.3"/>
    <row r="41" spans="2:36" ht="13.2" x14ac:dyDescent="0.3"/>
    <row r="42" spans="2:36" ht="13.2" x14ac:dyDescent="0.3"/>
    <row r="43" spans="2:36" ht="13.2" x14ac:dyDescent="0.3"/>
    <row r="44" spans="2:36" ht="13.2" x14ac:dyDescent="0.3"/>
    <row r="45" spans="2:36" ht="13.2" x14ac:dyDescent="0.3"/>
    <row r="46" spans="2:36" ht="13.2" x14ac:dyDescent="0.3"/>
    <row r="47" spans="2:36" ht="13.2" x14ac:dyDescent="0.3"/>
    <row r="48" spans="2:36" ht="13.2" x14ac:dyDescent="0.3"/>
    <row r="49" ht="13.2" x14ac:dyDescent="0.3"/>
    <row r="50" ht="13.2" x14ac:dyDescent="0.3"/>
    <row r="51" ht="13.2" x14ac:dyDescent="0.3"/>
    <row r="52" ht="13.2" x14ac:dyDescent="0.3"/>
    <row r="53" ht="13.2" x14ac:dyDescent="0.3"/>
    <row r="54" ht="13.2" x14ac:dyDescent="0.3"/>
    <row r="55" ht="13.2" x14ac:dyDescent="0.3"/>
    <row r="56" ht="13.2" x14ac:dyDescent="0.3"/>
    <row r="57" ht="13.2" x14ac:dyDescent="0.3"/>
    <row r="58" ht="13.2" x14ac:dyDescent="0.3"/>
    <row r="59" ht="13.2" x14ac:dyDescent="0.3"/>
    <row r="60" ht="13.2" x14ac:dyDescent="0.3"/>
    <row r="61" ht="13.2" x14ac:dyDescent="0.3"/>
    <row r="62" ht="13.2" x14ac:dyDescent="0.3"/>
    <row r="63" ht="13.2" x14ac:dyDescent="0.3"/>
    <row r="64" ht="13.2" x14ac:dyDescent="0.3"/>
    <row r="65" ht="13.2" x14ac:dyDescent="0.3"/>
    <row r="66" ht="13.2" x14ac:dyDescent="0.3"/>
    <row r="67" ht="13.2" x14ac:dyDescent="0.3"/>
    <row r="68" ht="13.2" x14ac:dyDescent="0.3"/>
    <row r="69" ht="13.2" x14ac:dyDescent="0.3"/>
    <row r="70" ht="13.2" x14ac:dyDescent="0.3"/>
    <row r="71" ht="13.2" x14ac:dyDescent="0.3"/>
    <row r="72" ht="13.2" customHeight="1" x14ac:dyDescent="0.3"/>
  </sheetData>
  <sheetProtection formatCells="0" formatColumns="0" formatRows="0" sort="0" autoFilter="0" pivotTables="0"/>
  <dataConsolidate/>
  <mergeCells count="10">
    <mergeCell ref="C6:G6"/>
    <mergeCell ref="K6:O6"/>
    <mergeCell ref="A8:A12"/>
    <mergeCell ref="I8:I12"/>
    <mergeCell ref="Q8:Q12"/>
    <mergeCell ref="A2:D2"/>
    <mergeCell ref="B3:D3"/>
    <mergeCell ref="A5:G5"/>
    <mergeCell ref="I5:O5"/>
    <mergeCell ref="T5:X5"/>
  </mergeCells>
  <conditionalFormatting sqref="D13:E27">
    <cfRule type="cellIs" dxfId="13" priority="1" operator="equal">
      <formula>$S$12</formula>
    </cfRule>
    <cfRule type="cellIs" dxfId="12" priority="2" operator="equal">
      <formula>$S$11</formula>
    </cfRule>
    <cfRule type="cellIs" dxfId="11" priority="3" operator="equal">
      <formula>$S$10</formula>
    </cfRule>
    <cfRule type="cellIs" dxfId="10" priority="4" operator="equal">
      <formula>$S$9</formula>
    </cfRule>
    <cfRule type="cellIs" dxfId="9" priority="5" operator="equal">
      <formula>$S$8</formula>
    </cfRule>
  </conditionalFormatting>
  <conditionalFormatting sqref="F13:F27">
    <cfRule type="cellIs" dxfId="8" priority="6" operator="equal">
      <formula>$T$7</formula>
    </cfRule>
    <cfRule type="cellIs" dxfId="7" priority="7" operator="equal">
      <formula>$U$7</formula>
    </cfRule>
    <cfRule type="cellIs" dxfId="6" priority="8" operator="equal">
      <formula>$V$7</formula>
    </cfRule>
    <cfRule type="cellIs" dxfId="5" priority="9" operator="equal">
      <formula>$W$7</formula>
    </cfRule>
    <cfRule type="cellIs" dxfId="4" priority="10" operator="equal">
      <formula>$X$7</formula>
    </cfRule>
  </conditionalFormatting>
  <conditionalFormatting sqref="G13:G27">
    <cfRule type="cellIs" dxfId="3" priority="11" operator="equal">
      <formula>$T$15</formula>
    </cfRule>
    <cfRule type="cellIs" dxfId="2" priority="12" operator="equal">
      <formula>$T$16</formula>
    </cfRule>
    <cfRule type="cellIs" dxfId="1" priority="13" operator="equal">
      <formula>$T$17</formula>
    </cfRule>
    <cfRule type="cellIs" dxfId="0" priority="14" operator="equal">
      <formula>$T$18</formula>
    </cfRule>
  </conditionalFormatting>
  <dataValidations count="3">
    <dataValidation type="list" allowBlank="1" showInputMessage="1" showErrorMessage="1" sqref="JD8:JJ15" xr:uid="{1EE456D3-13D4-4C88-ACD2-6352F57ECE95}">
      <formula1>#REF!</formula1>
    </dataValidation>
    <dataValidation allowBlank="1" showInputMessage="1" showErrorMessage="1" prompt="La probabilidad se encuentra determinada por una escala de 1 a 3, siendo 1 la menor probabilidad de ocurrencia del riesgo y 3 la mayor probabilidad de  ocurrencia." sqref="JC7" xr:uid="{0DE8303E-BB02-4BDA-8947-C6825308EDC5}"/>
    <dataValidation allowBlank="1" showInputMessage="1" showErrorMessage="1" prompt="Es la materialización del riesgo y las consecuencias de su aparición. Su escala es: 5 bajo impacto, 10 medio, 20 alto impacto._x000a_" sqref="JD7:JJ7" xr:uid="{A39ABD6E-8CE9-48BD-B69F-D420A9E39DF7}"/>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AK55"/>
  <sheetViews>
    <sheetView zoomScale="80" zoomScaleNormal="80" workbookViewId="0">
      <selection activeCell="C6" sqref="C6"/>
    </sheetView>
  </sheetViews>
  <sheetFormatPr baseColWidth="10" defaultColWidth="11.44140625" defaultRowHeight="14.4" x14ac:dyDescent="0.3"/>
  <cols>
    <col min="2" max="2" width="24.109375" customWidth="1"/>
    <col min="3" max="3" width="70.109375" customWidth="1"/>
    <col min="4" max="4" width="29.88671875" customWidth="1"/>
  </cols>
  <sheetData>
    <row r="1" spans="1:37" ht="23.4" x14ac:dyDescent="0.3">
      <c r="A1" s="8"/>
      <c r="B1" s="478" t="s">
        <v>493</v>
      </c>
      <c r="C1" s="478"/>
      <c r="D1" s="478"/>
      <c r="E1" s="8"/>
      <c r="F1" s="8"/>
      <c r="G1" s="8"/>
      <c r="H1" s="8"/>
      <c r="I1" s="8"/>
      <c r="J1" s="8"/>
      <c r="K1" s="8"/>
      <c r="L1" s="8"/>
      <c r="M1" s="8"/>
      <c r="N1" s="8"/>
      <c r="O1" s="8"/>
      <c r="P1" s="8"/>
      <c r="Q1" s="8"/>
      <c r="R1" s="8"/>
      <c r="S1" s="8"/>
      <c r="T1" s="8"/>
      <c r="U1" s="8"/>
      <c r="V1" s="8"/>
      <c r="W1" s="8"/>
      <c r="X1" s="8"/>
      <c r="Y1" s="8"/>
      <c r="Z1" s="8"/>
      <c r="AA1" s="8"/>
      <c r="AB1" s="8"/>
      <c r="AC1" s="8"/>
      <c r="AD1" s="8"/>
      <c r="AE1" s="8"/>
    </row>
    <row r="2" spans="1:37" x14ac:dyDescent="0.3">
      <c r="A2" s="8"/>
      <c r="B2" s="8"/>
      <c r="C2" s="8"/>
      <c r="D2" s="8"/>
      <c r="E2" s="8"/>
      <c r="F2" s="8"/>
      <c r="G2" s="8"/>
      <c r="H2" s="8"/>
      <c r="I2" s="8"/>
      <c r="J2" s="8"/>
      <c r="K2" s="8"/>
      <c r="L2" s="8"/>
      <c r="M2" s="8"/>
      <c r="N2" s="8"/>
      <c r="O2" s="8"/>
      <c r="P2" s="8"/>
      <c r="Q2" s="8"/>
      <c r="R2" s="8"/>
      <c r="S2" s="8"/>
      <c r="T2" s="8"/>
      <c r="U2" s="8"/>
      <c r="V2" s="8"/>
      <c r="W2" s="8"/>
      <c r="X2" s="8"/>
      <c r="Y2" s="8"/>
      <c r="Z2" s="8"/>
      <c r="AA2" s="8"/>
      <c r="AB2" s="8"/>
      <c r="AC2" s="8"/>
      <c r="AD2" s="8"/>
      <c r="AE2" s="8"/>
    </row>
    <row r="3" spans="1:37" ht="25.2" x14ac:dyDescent="0.3">
      <c r="A3" s="8"/>
      <c r="B3" s="3"/>
      <c r="C3" s="48" t="s">
        <v>494</v>
      </c>
      <c r="D3" s="48" t="s">
        <v>478</v>
      </c>
      <c r="E3" s="8"/>
      <c r="F3" s="8"/>
      <c r="G3" s="8"/>
      <c r="H3" s="8"/>
      <c r="I3" s="8"/>
      <c r="J3" s="8"/>
      <c r="K3" s="8"/>
      <c r="L3" s="8"/>
      <c r="M3" s="8"/>
      <c r="N3" s="8"/>
      <c r="O3" s="8"/>
      <c r="P3" s="8"/>
      <c r="Q3" s="8"/>
      <c r="R3" s="8"/>
      <c r="S3" s="8"/>
      <c r="T3" s="8"/>
      <c r="U3" s="8"/>
      <c r="V3" s="8"/>
      <c r="W3" s="8"/>
      <c r="X3" s="8"/>
      <c r="Y3" s="8"/>
      <c r="Z3" s="8"/>
      <c r="AA3" s="8"/>
      <c r="AB3" s="8"/>
      <c r="AC3" s="8"/>
      <c r="AD3" s="8"/>
      <c r="AE3" s="8"/>
    </row>
    <row r="4" spans="1:37" ht="50.4" x14ac:dyDescent="0.3">
      <c r="A4" s="8"/>
      <c r="B4" s="51" t="s">
        <v>294</v>
      </c>
      <c r="C4" s="49" t="s">
        <v>495</v>
      </c>
      <c r="D4" s="50">
        <v>0.2</v>
      </c>
      <c r="E4" s="8"/>
      <c r="F4" s="8"/>
      <c r="G4" s="8"/>
      <c r="H4" s="8"/>
      <c r="I4" s="8"/>
      <c r="J4" s="8"/>
      <c r="K4" s="8"/>
      <c r="L4" s="8"/>
      <c r="M4" s="8"/>
      <c r="N4" s="8"/>
      <c r="O4" s="8"/>
      <c r="P4" s="8"/>
      <c r="Q4" s="8"/>
      <c r="R4" s="8"/>
      <c r="S4" s="8"/>
      <c r="T4" s="8"/>
      <c r="U4" s="8"/>
      <c r="V4" s="8"/>
      <c r="W4" s="8"/>
      <c r="X4" s="8"/>
      <c r="Y4" s="8"/>
      <c r="Z4" s="8"/>
      <c r="AA4" s="8"/>
      <c r="AB4" s="8"/>
      <c r="AC4" s="8"/>
      <c r="AD4" s="8"/>
      <c r="AE4" s="8"/>
    </row>
    <row r="5" spans="1:37" ht="50.4" x14ac:dyDescent="0.3">
      <c r="A5" s="8"/>
      <c r="B5" s="52" t="s">
        <v>366</v>
      </c>
      <c r="C5" s="49" t="s">
        <v>496</v>
      </c>
      <c r="D5" s="50">
        <v>0.4</v>
      </c>
      <c r="E5" s="8"/>
      <c r="F5" s="8"/>
      <c r="G5" s="8"/>
      <c r="H5" s="8"/>
      <c r="I5" s="8"/>
      <c r="J5" s="8"/>
      <c r="K5" s="8"/>
      <c r="L5" s="8"/>
      <c r="M5" s="8"/>
      <c r="N5" s="8"/>
      <c r="O5" s="8"/>
      <c r="P5" s="8"/>
      <c r="Q5" s="8"/>
      <c r="R5" s="8"/>
      <c r="S5" s="8"/>
      <c r="T5" s="8"/>
      <c r="U5" s="8"/>
      <c r="V5" s="8"/>
      <c r="W5" s="8"/>
      <c r="X5" s="8"/>
      <c r="Y5" s="8"/>
      <c r="Z5" s="8"/>
      <c r="AA5" s="8"/>
      <c r="AB5" s="8"/>
      <c r="AC5" s="8"/>
      <c r="AD5" s="8"/>
      <c r="AE5" s="8"/>
    </row>
    <row r="6" spans="1:37" ht="50.4" x14ac:dyDescent="0.3">
      <c r="A6" s="8"/>
      <c r="B6" s="53" t="s">
        <v>255</v>
      </c>
      <c r="C6" s="49" t="s">
        <v>497</v>
      </c>
      <c r="D6" s="50">
        <v>0.6</v>
      </c>
      <c r="E6" s="8"/>
      <c r="F6" s="8"/>
      <c r="G6" s="8"/>
      <c r="H6" s="8"/>
      <c r="I6" s="8"/>
      <c r="J6" s="8"/>
      <c r="K6" s="8"/>
      <c r="L6" s="8"/>
      <c r="M6" s="8"/>
      <c r="N6" s="8"/>
      <c r="O6" s="8"/>
      <c r="P6" s="8"/>
      <c r="Q6" s="8"/>
      <c r="R6" s="8"/>
      <c r="S6" s="8"/>
      <c r="T6" s="8"/>
      <c r="U6" s="8"/>
      <c r="V6" s="8"/>
      <c r="W6" s="8"/>
      <c r="X6" s="8"/>
      <c r="Y6" s="8"/>
      <c r="Z6" s="8"/>
      <c r="AA6" s="8"/>
      <c r="AB6" s="8"/>
      <c r="AC6" s="8"/>
      <c r="AD6" s="8"/>
      <c r="AE6" s="8"/>
    </row>
    <row r="7" spans="1:37" ht="75.599999999999994" x14ac:dyDescent="0.3">
      <c r="A7" s="8"/>
      <c r="B7" s="54" t="s">
        <v>157</v>
      </c>
      <c r="C7" s="49" t="s">
        <v>498</v>
      </c>
      <c r="D7" s="50">
        <v>0.8</v>
      </c>
      <c r="E7" s="8"/>
      <c r="F7" s="8"/>
      <c r="G7" s="8"/>
      <c r="H7" s="8"/>
      <c r="I7" s="8"/>
      <c r="J7" s="8"/>
      <c r="K7" s="8"/>
      <c r="L7" s="8"/>
      <c r="M7" s="8"/>
      <c r="N7" s="8"/>
      <c r="O7" s="8"/>
      <c r="P7" s="8"/>
      <c r="Q7" s="8"/>
      <c r="R7" s="8"/>
      <c r="S7" s="8"/>
      <c r="T7" s="8"/>
      <c r="U7" s="8"/>
      <c r="V7" s="8"/>
      <c r="W7" s="8"/>
      <c r="X7" s="8"/>
      <c r="Y7" s="8"/>
      <c r="Z7" s="8"/>
      <c r="AA7" s="8"/>
      <c r="AB7" s="8"/>
      <c r="AC7" s="8"/>
      <c r="AD7" s="8"/>
      <c r="AE7" s="8"/>
    </row>
    <row r="8" spans="1:37" ht="50.4" x14ac:dyDescent="0.3">
      <c r="A8" s="8"/>
      <c r="B8" s="55" t="s">
        <v>479</v>
      </c>
      <c r="C8" s="49" t="s">
        <v>499</v>
      </c>
      <c r="D8" s="50">
        <v>1</v>
      </c>
      <c r="E8" s="8"/>
      <c r="F8" s="8"/>
      <c r="G8" s="8"/>
      <c r="H8" s="8"/>
      <c r="I8" s="8"/>
      <c r="J8" s="8"/>
      <c r="K8" s="8"/>
      <c r="L8" s="8"/>
      <c r="M8" s="8"/>
      <c r="N8" s="8"/>
      <c r="O8" s="8"/>
      <c r="P8" s="8"/>
      <c r="Q8" s="8"/>
      <c r="R8" s="8"/>
      <c r="S8" s="8"/>
      <c r="T8" s="8"/>
      <c r="U8" s="8"/>
      <c r="V8" s="8"/>
      <c r="W8" s="8"/>
      <c r="X8" s="8"/>
      <c r="Y8" s="8"/>
      <c r="Z8" s="8"/>
      <c r="AA8" s="8"/>
      <c r="AB8" s="8"/>
      <c r="AC8" s="8"/>
      <c r="AD8" s="8"/>
      <c r="AE8" s="8"/>
    </row>
    <row r="9" spans="1:37" x14ac:dyDescent="0.3">
      <c r="A9" s="8"/>
      <c r="B9" s="24"/>
      <c r="C9" s="24"/>
      <c r="D9" s="24"/>
      <c r="E9" s="8"/>
      <c r="F9" s="8"/>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row>
    <row r="10" spans="1:37" x14ac:dyDescent="0.3">
      <c r="A10" s="8"/>
      <c r="B10" s="25"/>
      <c r="C10" s="24"/>
      <c r="D10" s="24"/>
      <c r="E10" s="8"/>
      <c r="F10" s="8"/>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row>
    <row r="11" spans="1:37" x14ac:dyDescent="0.3">
      <c r="A11" s="8"/>
      <c r="B11" s="24"/>
      <c r="C11" s="24"/>
      <c r="D11" s="24"/>
      <c r="E11" s="8"/>
      <c r="F11" s="8"/>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row>
    <row r="12" spans="1:37" x14ac:dyDescent="0.3">
      <c r="A12" s="8"/>
      <c r="B12" s="24"/>
      <c r="C12" s="24"/>
      <c r="D12" s="24"/>
      <c r="E12" s="8"/>
      <c r="F12" s="8"/>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row>
    <row r="13" spans="1:37" x14ac:dyDescent="0.3">
      <c r="A13" s="8"/>
      <c r="B13" s="24"/>
      <c r="C13" s="24"/>
      <c r="D13" s="24"/>
      <c r="E13" s="8"/>
      <c r="F13" s="8"/>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row>
    <row r="14" spans="1:37" x14ac:dyDescent="0.3">
      <c r="A14" s="8"/>
      <c r="B14" s="24"/>
      <c r="C14" s="24"/>
      <c r="D14" s="24"/>
      <c r="E14" s="8"/>
      <c r="F14" s="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row>
    <row r="15" spans="1:37" x14ac:dyDescent="0.3">
      <c r="A15" s="8"/>
      <c r="B15" s="24"/>
      <c r="C15" s="24"/>
      <c r="D15" s="24"/>
      <c r="E15" s="8"/>
      <c r="F15" s="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row>
    <row r="16" spans="1:37" x14ac:dyDescent="0.3">
      <c r="A16" s="8"/>
      <c r="B16" s="24"/>
      <c r="C16" s="24"/>
      <c r="D16" s="24"/>
      <c r="E16" s="8"/>
      <c r="F16" s="8"/>
      <c r="G16" s="8"/>
      <c r="H16" s="8"/>
      <c r="I16" s="8"/>
      <c r="J16" s="8"/>
      <c r="K16" s="8"/>
      <c r="L16" s="8"/>
      <c r="M16" s="8"/>
      <c r="N16" s="8"/>
      <c r="O16" s="8"/>
      <c r="P16" s="8"/>
      <c r="Q16" s="8"/>
      <c r="R16" s="8"/>
      <c r="S16" s="8"/>
      <c r="T16" s="8"/>
      <c r="U16" s="8"/>
      <c r="V16" s="8"/>
      <c r="W16" s="8"/>
      <c r="X16" s="8"/>
      <c r="Y16" s="8"/>
      <c r="Z16" s="8"/>
      <c r="AA16" s="8"/>
      <c r="AB16" s="8"/>
      <c r="AC16" s="8"/>
      <c r="AD16" s="8"/>
      <c r="AE16" s="8"/>
      <c r="AF16" s="8"/>
      <c r="AG16" s="8"/>
      <c r="AH16" s="8"/>
      <c r="AI16" s="8"/>
      <c r="AJ16" s="8"/>
      <c r="AK16" s="8"/>
    </row>
    <row r="17" spans="1:37" x14ac:dyDescent="0.3">
      <c r="A17" s="8"/>
      <c r="B17" s="24"/>
      <c r="C17" s="24"/>
      <c r="D17" s="24"/>
      <c r="E17" s="8"/>
      <c r="F17" s="8"/>
      <c r="G17" s="8"/>
      <c r="H17" s="8"/>
      <c r="I17" s="8"/>
      <c r="J17" s="8"/>
      <c r="K17" s="8"/>
      <c r="L17" s="8"/>
      <c r="M17" s="8"/>
      <c r="N17" s="8"/>
      <c r="O17" s="8"/>
      <c r="P17" s="8"/>
      <c r="Q17" s="8"/>
      <c r="R17" s="8"/>
      <c r="S17" s="8"/>
      <c r="T17" s="8"/>
      <c r="U17" s="8"/>
      <c r="V17" s="8"/>
      <c r="W17" s="8"/>
      <c r="X17" s="8"/>
      <c r="Y17" s="8"/>
      <c r="Z17" s="8"/>
      <c r="AA17" s="8"/>
      <c r="AB17" s="8"/>
      <c r="AC17" s="8"/>
      <c r="AD17" s="8"/>
      <c r="AE17" s="8"/>
      <c r="AF17" s="8"/>
      <c r="AG17" s="8"/>
      <c r="AH17" s="8"/>
      <c r="AI17" s="8"/>
      <c r="AJ17" s="8"/>
      <c r="AK17" s="8"/>
    </row>
    <row r="18" spans="1:37" x14ac:dyDescent="0.3">
      <c r="A18" s="8"/>
      <c r="B18" s="24"/>
      <c r="C18" s="24"/>
      <c r="D18" s="24"/>
      <c r="E18" s="8"/>
      <c r="F18" s="8"/>
      <c r="G18" s="8"/>
      <c r="H18" s="8"/>
      <c r="I18" s="8"/>
      <c r="J18" s="8"/>
      <c r="K18" s="8"/>
      <c r="L18" s="8"/>
      <c r="M18" s="8"/>
      <c r="N18" s="8"/>
      <c r="O18" s="8"/>
      <c r="P18" s="8"/>
      <c r="Q18" s="8"/>
      <c r="R18" s="8"/>
      <c r="S18" s="8"/>
      <c r="T18" s="8"/>
      <c r="U18" s="8"/>
      <c r="V18" s="8"/>
      <c r="W18" s="8"/>
      <c r="X18" s="8"/>
      <c r="Y18" s="8"/>
      <c r="Z18" s="8"/>
      <c r="AA18" s="8"/>
      <c r="AB18" s="8"/>
      <c r="AC18" s="8"/>
      <c r="AD18" s="8"/>
      <c r="AE18" s="8"/>
      <c r="AF18" s="8"/>
      <c r="AG18" s="8"/>
      <c r="AH18" s="8"/>
      <c r="AI18" s="8"/>
      <c r="AJ18" s="8"/>
      <c r="AK18" s="8"/>
    </row>
    <row r="19" spans="1:37" x14ac:dyDescent="0.3">
      <c r="A19" s="8"/>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row>
    <row r="20" spans="1:37" x14ac:dyDescent="0.3">
      <c r="A20" s="8"/>
      <c r="B20" s="8"/>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row>
    <row r="21" spans="1:37" x14ac:dyDescent="0.3">
      <c r="A21" s="8"/>
      <c r="B21" s="8"/>
      <c r="C21" s="8"/>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row>
    <row r="22" spans="1:37" x14ac:dyDescent="0.3">
      <c r="A22" s="8"/>
      <c r="B22" s="8"/>
      <c r="C22" s="8"/>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row>
    <row r="23" spans="1:37" x14ac:dyDescent="0.3">
      <c r="A23" s="8"/>
      <c r="B23" s="8"/>
      <c r="C23" s="8"/>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row>
    <row r="24" spans="1:37" x14ac:dyDescent="0.3">
      <c r="A24" s="8"/>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row>
    <row r="25" spans="1:37" x14ac:dyDescent="0.3">
      <c r="A25" s="8"/>
      <c r="B25" s="8"/>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row>
    <row r="26" spans="1:37" x14ac:dyDescent="0.3">
      <c r="A26" s="8"/>
      <c r="B26" s="8"/>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row>
    <row r="27" spans="1:37" x14ac:dyDescent="0.3">
      <c r="A27" s="8"/>
      <c r="B27" s="8"/>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row>
    <row r="28" spans="1:37" x14ac:dyDescent="0.3">
      <c r="A28" s="8"/>
      <c r="B28" s="8"/>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row>
    <row r="29" spans="1:37" x14ac:dyDescent="0.3">
      <c r="A29" s="8"/>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row>
    <row r="30" spans="1:37" x14ac:dyDescent="0.3">
      <c r="A30" s="8"/>
      <c r="B30" s="8"/>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row>
    <row r="31" spans="1:37" x14ac:dyDescent="0.3">
      <c r="A31" s="8"/>
      <c r="B31" s="8"/>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row>
    <row r="32" spans="1:37" x14ac:dyDescent="0.3">
      <c r="A32" s="8"/>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row>
    <row r="33" spans="1:31" x14ac:dyDescent="0.3">
      <c r="A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x14ac:dyDescent="0.3">
      <c r="A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x14ac:dyDescent="0.3">
      <c r="A35" s="8"/>
    </row>
    <row r="36" spans="1:31" x14ac:dyDescent="0.3">
      <c r="A36" s="8"/>
    </row>
    <row r="37" spans="1:31" x14ac:dyDescent="0.3">
      <c r="A37" s="8"/>
    </row>
    <row r="38" spans="1:31" x14ac:dyDescent="0.3">
      <c r="A38" s="8"/>
    </row>
    <row r="39" spans="1:31" x14ac:dyDescent="0.3">
      <c r="A39" s="8"/>
    </row>
    <row r="40" spans="1:31" x14ac:dyDescent="0.3">
      <c r="A40" s="8"/>
    </row>
    <row r="41" spans="1:31" x14ac:dyDescent="0.3">
      <c r="A41" s="8"/>
    </row>
    <row r="42" spans="1:31" x14ac:dyDescent="0.3">
      <c r="A42" s="8"/>
    </row>
    <row r="43" spans="1:31" x14ac:dyDescent="0.3">
      <c r="A43" s="8"/>
    </row>
    <row r="44" spans="1:31" x14ac:dyDescent="0.3">
      <c r="A44" s="8"/>
    </row>
    <row r="45" spans="1:31" x14ac:dyDescent="0.3">
      <c r="A45" s="8"/>
    </row>
    <row r="46" spans="1:31" x14ac:dyDescent="0.3">
      <c r="A46" s="8"/>
    </row>
    <row r="47" spans="1:31" x14ac:dyDescent="0.3">
      <c r="A47" s="8"/>
    </row>
    <row r="48" spans="1:31" x14ac:dyDescent="0.3">
      <c r="A48" s="8"/>
    </row>
    <row r="49" spans="1:1" x14ac:dyDescent="0.3">
      <c r="A49" s="8"/>
    </row>
    <row r="50" spans="1:1" x14ac:dyDescent="0.3">
      <c r="A50" s="8"/>
    </row>
    <row r="51" spans="1:1" x14ac:dyDescent="0.3">
      <c r="A51" s="8"/>
    </row>
    <row r="52" spans="1:1" x14ac:dyDescent="0.3">
      <c r="A52" s="8"/>
    </row>
    <row r="53" spans="1:1" x14ac:dyDescent="0.3">
      <c r="A53" s="8"/>
    </row>
    <row r="54" spans="1:1" x14ac:dyDescent="0.3">
      <c r="A54" s="8"/>
    </row>
    <row r="55" spans="1:1" x14ac:dyDescent="0.3">
      <c r="A55" s="8"/>
    </row>
  </sheetData>
  <mergeCells count="1">
    <mergeCell ref="B1:D1"/>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7C3AE-D95F-4332-9BF1-4964192BC033}">
  <sheetPr>
    <tabColor theme="6" tint="-0.249977111117893"/>
  </sheetPr>
  <dimension ref="A1:W231"/>
  <sheetViews>
    <sheetView topLeftCell="B15" zoomScaleNormal="100" workbookViewId="0">
      <selection activeCell="C24" sqref="C24"/>
    </sheetView>
  </sheetViews>
  <sheetFormatPr baseColWidth="10" defaultColWidth="11.44140625" defaultRowHeight="14.4" x14ac:dyDescent="0.3"/>
  <cols>
    <col min="2" max="2" width="40.44140625" customWidth="1"/>
    <col min="3" max="3" width="159.44140625" customWidth="1"/>
    <col min="4" max="5" width="47" customWidth="1"/>
    <col min="6" max="6" width="135" bestFit="1" customWidth="1"/>
    <col min="7" max="7" width="144.6640625" bestFit="1" customWidth="1"/>
  </cols>
  <sheetData>
    <row r="1" spans="1:23" ht="32.4" x14ac:dyDescent="0.3">
      <c r="A1" s="8"/>
      <c r="B1" s="480" t="s">
        <v>500</v>
      </c>
      <c r="C1" s="480"/>
      <c r="D1" s="30"/>
      <c r="E1" s="30"/>
      <c r="F1" s="32"/>
      <c r="G1" s="8"/>
      <c r="H1" s="8"/>
      <c r="I1" s="8"/>
      <c r="J1" s="8"/>
      <c r="K1" s="8"/>
      <c r="L1" s="8"/>
      <c r="M1" s="8"/>
      <c r="N1" s="8"/>
      <c r="O1" s="8"/>
      <c r="P1" s="8"/>
      <c r="Q1" s="8"/>
      <c r="R1" s="8"/>
      <c r="S1" s="8"/>
      <c r="T1" s="8"/>
      <c r="U1" s="8"/>
      <c r="V1" s="8"/>
      <c r="W1" s="8"/>
    </row>
    <row r="2" spans="1:23" x14ac:dyDescent="0.3">
      <c r="A2" s="8"/>
      <c r="B2" s="8"/>
      <c r="C2" s="8"/>
      <c r="D2" s="8"/>
      <c r="E2" s="8"/>
      <c r="F2" s="8"/>
      <c r="G2" s="8"/>
      <c r="H2" s="8"/>
      <c r="I2" s="8"/>
      <c r="J2" s="8"/>
      <c r="K2" s="8"/>
      <c r="L2" s="8"/>
      <c r="M2" s="8"/>
      <c r="N2" s="8"/>
      <c r="O2" s="8"/>
      <c r="P2" s="8"/>
      <c r="Q2" s="8"/>
      <c r="R2" s="8"/>
      <c r="S2" s="8"/>
      <c r="T2" s="8"/>
      <c r="U2" s="8"/>
      <c r="V2" s="8"/>
      <c r="W2" s="8"/>
    </row>
    <row r="3" spans="1:23" ht="32.4" x14ac:dyDescent="0.3">
      <c r="A3" s="22" t="s">
        <v>501</v>
      </c>
      <c r="C3" s="33" t="s">
        <v>502</v>
      </c>
      <c r="D3" s="57"/>
      <c r="E3" s="57"/>
      <c r="F3" s="34"/>
      <c r="G3" s="8"/>
      <c r="H3" s="8"/>
      <c r="I3" s="8"/>
      <c r="J3" s="8"/>
      <c r="K3" s="8"/>
      <c r="L3" s="8"/>
      <c r="M3" s="8"/>
      <c r="N3" s="8"/>
      <c r="O3" s="8"/>
      <c r="P3" s="8"/>
      <c r="Q3" s="8"/>
      <c r="R3" s="8"/>
      <c r="S3" s="8"/>
      <c r="T3" s="8"/>
      <c r="U3" s="8"/>
      <c r="V3" s="8"/>
      <c r="W3" s="8"/>
    </row>
    <row r="4" spans="1:23" ht="32.4" x14ac:dyDescent="0.3">
      <c r="A4" s="22" t="s">
        <v>477</v>
      </c>
      <c r="B4" s="481" t="s">
        <v>503</v>
      </c>
      <c r="C4" s="35" t="s">
        <v>504</v>
      </c>
      <c r="D4" s="56"/>
      <c r="E4" s="56"/>
      <c r="F4" s="34"/>
      <c r="G4" s="8"/>
      <c r="H4" s="8"/>
      <c r="I4" s="8"/>
      <c r="J4" s="8"/>
      <c r="K4" s="8"/>
      <c r="L4" s="8"/>
      <c r="M4" s="8"/>
      <c r="N4" s="8"/>
      <c r="O4" s="8"/>
      <c r="P4" s="8"/>
      <c r="Q4" s="8"/>
      <c r="R4" s="8"/>
      <c r="S4" s="8"/>
      <c r="T4" s="8"/>
      <c r="U4" s="8"/>
      <c r="V4" s="8"/>
      <c r="W4" s="8"/>
    </row>
    <row r="5" spans="1:23" ht="32.4" x14ac:dyDescent="0.3">
      <c r="A5" s="22" t="s">
        <v>15</v>
      </c>
      <c r="B5" s="481"/>
      <c r="C5" s="36" t="s">
        <v>505</v>
      </c>
      <c r="D5" s="56"/>
      <c r="E5" s="56"/>
      <c r="F5" s="34"/>
      <c r="G5" s="8"/>
      <c r="H5" s="8"/>
      <c r="I5" s="8"/>
      <c r="J5" s="8"/>
      <c r="K5" s="8"/>
      <c r="L5" s="8"/>
      <c r="M5" s="8"/>
      <c r="N5" s="8"/>
      <c r="O5" s="8"/>
      <c r="P5" s="8"/>
      <c r="Q5" s="8"/>
      <c r="R5" s="8"/>
      <c r="S5" s="8"/>
      <c r="T5" s="8"/>
      <c r="U5" s="8"/>
      <c r="V5" s="8"/>
      <c r="W5" s="8"/>
    </row>
    <row r="6" spans="1:23" ht="32.4" x14ac:dyDescent="0.3">
      <c r="A6" s="22" t="s">
        <v>274</v>
      </c>
      <c r="B6" s="481"/>
      <c r="C6" s="36" t="s">
        <v>506</v>
      </c>
      <c r="D6" s="56"/>
      <c r="E6" s="56"/>
      <c r="F6" s="34"/>
      <c r="G6" s="8"/>
      <c r="H6" s="8"/>
      <c r="I6" s="8"/>
      <c r="J6" s="8"/>
      <c r="K6" s="8"/>
      <c r="L6" s="8"/>
      <c r="M6" s="8"/>
      <c r="N6" s="8"/>
      <c r="O6" s="8"/>
      <c r="P6" s="8"/>
      <c r="Q6" s="8"/>
      <c r="R6" s="8"/>
      <c r="S6" s="8"/>
      <c r="T6" s="8"/>
      <c r="U6" s="8"/>
      <c r="V6" s="8"/>
      <c r="W6" s="8"/>
    </row>
    <row r="7" spans="1:23" ht="32.4" x14ac:dyDescent="0.3">
      <c r="A7" s="22" t="s">
        <v>417</v>
      </c>
      <c r="B7" s="481"/>
      <c r="C7" s="36" t="s">
        <v>507</v>
      </c>
      <c r="D7" s="56"/>
      <c r="E7" s="56"/>
      <c r="F7" s="34"/>
      <c r="G7" s="8"/>
      <c r="H7" s="8"/>
      <c r="I7" s="8"/>
      <c r="J7" s="8"/>
      <c r="K7" s="8"/>
      <c r="L7" s="8"/>
      <c r="M7" s="8"/>
      <c r="N7" s="8"/>
      <c r="O7" s="8"/>
      <c r="P7" s="8"/>
      <c r="Q7" s="8"/>
      <c r="R7" s="8"/>
      <c r="S7" s="8"/>
      <c r="T7" s="8"/>
      <c r="U7" s="8"/>
      <c r="V7" s="8"/>
      <c r="W7" s="8"/>
    </row>
    <row r="8" spans="1:23" ht="20.399999999999999" x14ac:dyDescent="0.3">
      <c r="A8" s="22"/>
      <c r="B8" s="481"/>
      <c r="C8" s="36" t="s">
        <v>508</v>
      </c>
      <c r="D8" s="56"/>
      <c r="E8" s="56"/>
      <c r="F8" s="37"/>
      <c r="G8" s="8"/>
      <c r="H8" s="8"/>
      <c r="I8" s="8"/>
      <c r="J8" s="8"/>
      <c r="K8" s="8"/>
      <c r="L8" s="8"/>
      <c r="M8" s="8"/>
      <c r="N8" s="8"/>
      <c r="O8" s="8"/>
      <c r="P8" s="8"/>
      <c r="Q8" s="8"/>
      <c r="R8" s="8"/>
      <c r="S8" s="8"/>
      <c r="T8" s="8"/>
      <c r="U8" s="8"/>
      <c r="V8" s="8"/>
      <c r="W8" s="8"/>
    </row>
    <row r="9" spans="1:23" ht="18" x14ac:dyDescent="0.3">
      <c r="A9" s="22"/>
      <c r="B9" s="481"/>
      <c r="C9" s="38" t="s">
        <v>509</v>
      </c>
      <c r="D9" s="56"/>
      <c r="E9" s="56"/>
      <c r="F9" s="23"/>
      <c r="G9" s="8"/>
      <c r="H9" s="8"/>
      <c r="I9" s="8"/>
      <c r="J9" s="8"/>
      <c r="K9" s="8"/>
      <c r="L9" s="8"/>
      <c r="M9" s="8"/>
      <c r="N9" s="8"/>
      <c r="O9" s="8"/>
      <c r="P9" s="8"/>
      <c r="Q9" s="8"/>
      <c r="R9" s="8"/>
      <c r="S9" s="8"/>
      <c r="T9" s="8"/>
      <c r="U9" s="8"/>
      <c r="V9" s="8"/>
      <c r="W9" s="8"/>
    </row>
    <row r="10" spans="1:23" ht="33.75" customHeight="1" x14ac:dyDescent="0.3">
      <c r="A10" s="22"/>
      <c r="B10" s="482" t="s">
        <v>510</v>
      </c>
      <c r="C10" s="39" t="s">
        <v>511</v>
      </c>
      <c r="D10" s="56"/>
      <c r="E10" s="56"/>
      <c r="F10" s="22" t="s">
        <v>512</v>
      </c>
      <c r="G10" s="8"/>
      <c r="H10" s="8"/>
      <c r="I10" s="8"/>
      <c r="J10" s="8"/>
      <c r="K10" s="8"/>
      <c r="L10" s="8"/>
      <c r="M10" s="8"/>
      <c r="N10" s="8"/>
      <c r="O10" s="8"/>
      <c r="P10" s="8"/>
      <c r="Q10" s="8"/>
      <c r="R10" s="8"/>
      <c r="S10" s="8"/>
      <c r="T10" s="8"/>
      <c r="U10" s="8"/>
      <c r="V10" s="8"/>
      <c r="W10" s="8"/>
    </row>
    <row r="11" spans="1:23" ht="18" x14ac:dyDescent="0.3">
      <c r="A11" s="22"/>
      <c r="B11" s="482"/>
      <c r="C11" s="40" t="s">
        <v>513</v>
      </c>
      <c r="D11" s="56"/>
      <c r="E11" s="56"/>
      <c r="F11" s="22" t="s">
        <v>514</v>
      </c>
      <c r="G11" s="8"/>
      <c r="H11" s="8"/>
      <c r="I11" s="8"/>
      <c r="J11" s="8"/>
      <c r="K11" s="8"/>
      <c r="L11" s="8"/>
      <c r="M11" s="8"/>
      <c r="N11" s="8"/>
      <c r="O11" s="8"/>
      <c r="P11" s="8"/>
      <c r="Q11" s="8"/>
      <c r="R11" s="8"/>
      <c r="S11" s="8"/>
      <c r="T11" s="8"/>
      <c r="U11" s="8"/>
      <c r="V11" s="8"/>
      <c r="W11" s="8"/>
    </row>
    <row r="12" spans="1:23" ht="18" x14ac:dyDescent="0.3">
      <c r="A12" s="22"/>
      <c r="B12" s="482"/>
      <c r="C12" s="40" t="s">
        <v>515</v>
      </c>
      <c r="D12" s="56"/>
      <c r="E12" s="56"/>
      <c r="F12" s="22" t="s">
        <v>516</v>
      </c>
      <c r="G12" s="8"/>
      <c r="H12" s="8"/>
      <c r="I12" s="8"/>
      <c r="J12" s="8"/>
      <c r="K12" s="8"/>
      <c r="L12" s="8"/>
      <c r="M12" s="8"/>
      <c r="N12" s="8"/>
      <c r="O12" s="8"/>
      <c r="P12" s="8"/>
      <c r="Q12" s="8"/>
      <c r="R12" s="8"/>
      <c r="S12" s="8"/>
      <c r="T12" s="8"/>
      <c r="U12" s="8"/>
      <c r="V12" s="8"/>
      <c r="W12" s="8"/>
    </row>
    <row r="13" spans="1:23" ht="18" x14ac:dyDescent="0.3">
      <c r="A13" s="22"/>
      <c r="B13" s="482"/>
      <c r="C13" s="40" t="s">
        <v>517</v>
      </c>
      <c r="D13" s="56"/>
      <c r="E13" s="56"/>
      <c r="F13" s="22" t="s">
        <v>518</v>
      </c>
      <c r="G13" s="8"/>
      <c r="H13" s="8"/>
      <c r="I13" s="8"/>
      <c r="J13" s="8"/>
      <c r="K13" s="8"/>
      <c r="L13" s="8"/>
      <c r="M13" s="8"/>
      <c r="N13" s="8"/>
      <c r="O13" s="8"/>
      <c r="P13" s="8"/>
      <c r="Q13" s="8"/>
      <c r="R13" s="8"/>
      <c r="S13" s="8"/>
      <c r="T13" s="8"/>
      <c r="U13" s="8"/>
      <c r="V13" s="8"/>
      <c r="W13" s="8"/>
    </row>
    <row r="14" spans="1:23" ht="36" x14ac:dyDescent="0.3">
      <c r="A14" s="22"/>
      <c r="B14" s="482"/>
      <c r="C14" s="40" t="s">
        <v>519</v>
      </c>
      <c r="D14" s="56"/>
      <c r="E14" s="56"/>
      <c r="F14" s="22" t="s">
        <v>520</v>
      </c>
      <c r="G14" s="8"/>
      <c r="H14" s="8"/>
      <c r="I14" s="8"/>
      <c r="J14" s="8"/>
      <c r="K14" s="8"/>
      <c r="L14" s="8"/>
      <c r="M14" s="8"/>
      <c r="N14" s="8"/>
      <c r="O14" s="8"/>
      <c r="P14" s="8"/>
      <c r="Q14" s="8"/>
      <c r="R14" s="8"/>
      <c r="S14" s="8"/>
      <c r="T14" s="8"/>
      <c r="U14" s="8"/>
      <c r="V14" s="8"/>
      <c r="W14" s="8"/>
    </row>
    <row r="15" spans="1:23" ht="36" x14ac:dyDescent="0.3">
      <c r="A15" s="22"/>
      <c r="B15" s="482"/>
      <c r="C15" s="41" t="s">
        <v>521</v>
      </c>
      <c r="D15" s="56"/>
      <c r="E15" s="56"/>
      <c r="F15" s="22"/>
      <c r="G15" s="8"/>
      <c r="H15" s="8"/>
      <c r="I15" s="8"/>
      <c r="J15" s="8"/>
      <c r="K15" s="8"/>
      <c r="L15" s="8"/>
      <c r="M15" s="8"/>
      <c r="N15" s="8"/>
      <c r="O15" s="8"/>
      <c r="P15" s="8"/>
      <c r="Q15" s="8"/>
    </row>
    <row r="16" spans="1:23" ht="18" x14ac:dyDescent="0.3">
      <c r="A16" s="22"/>
      <c r="B16" s="483" t="s">
        <v>522</v>
      </c>
      <c r="C16" s="39" t="s">
        <v>523</v>
      </c>
      <c r="D16" s="56"/>
      <c r="E16" s="56"/>
      <c r="F16" s="22"/>
      <c r="G16" s="8"/>
      <c r="H16" s="8"/>
      <c r="I16" s="8"/>
      <c r="J16" s="8"/>
      <c r="K16" s="8"/>
      <c r="L16" s="8"/>
      <c r="M16" s="8"/>
      <c r="N16" s="8"/>
      <c r="O16" s="8"/>
      <c r="P16" s="8"/>
      <c r="Q16" s="8"/>
    </row>
    <row r="17" spans="1:17" ht="36" x14ac:dyDescent="0.3">
      <c r="A17" s="22"/>
      <c r="B17" s="483"/>
      <c r="C17" s="40" t="s">
        <v>524</v>
      </c>
      <c r="D17" s="56"/>
      <c r="E17" s="56"/>
      <c r="F17" s="24"/>
      <c r="G17" s="8"/>
      <c r="H17" s="8"/>
      <c r="I17" s="8"/>
      <c r="J17" s="8"/>
      <c r="K17" s="8"/>
      <c r="L17" s="8"/>
      <c r="M17" s="8"/>
      <c r="N17" s="8"/>
      <c r="O17" s="8"/>
      <c r="P17" s="8"/>
      <c r="Q17" s="8"/>
    </row>
    <row r="18" spans="1:17" ht="36" x14ac:dyDescent="0.3">
      <c r="A18" s="22"/>
      <c r="B18" s="483"/>
      <c r="C18" s="40" t="s">
        <v>525</v>
      </c>
      <c r="D18" s="56"/>
      <c r="E18" s="56"/>
      <c r="F18" s="24"/>
      <c r="G18" s="8"/>
      <c r="H18" s="8"/>
      <c r="I18" s="8"/>
      <c r="J18" s="8"/>
      <c r="K18" s="8"/>
      <c r="L18" s="8"/>
      <c r="M18" s="8"/>
      <c r="N18" s="8"/>
      <c r="O18" s="8"/>
      <c r="P18" s="8"/>
      <c r="Q18" s="8"/>
    </row>
    <row r="19" spans="1:17" ht="18" x14ac:dyDescent="0.3">
      <c r="A19" s="22"/>
      <c r="B19" s="483"/>
      <c r="C19" s="40" t="s">
        <v>526</v>
      </c>
      <c r="D19" s="56"/>
      <c r="E19" s="56"/>
      <c r="F19" s="24"/>
      <c r="G19" s="8"/>
      <c r="H19" s="8"/>
      <c r="I19" s="8"/>
      <c r="J19" s="8"/>
      <c r="K19" s="8"/>
      <c r="L19" s="8"/>
      <c r="M19" s="8"/>
      <c r="N19" s="8"/>
      <c r="O19" s="8"/>
      <c r="P19" s="8"/>
      <c r="Q19" s="8"/>
    </row>
    <row r="20" spans="1:17" ht="36" x14ac:dyDescent="0.3">
      <c r="A20" s="22"/>
      <c r="B20" s="483"/>
      <c r="C20" s="40" t="s">
        <v>527</v>
      </c>
      <c r="D20" s="56"/>
      <c r="E20" s="56"/>
      <c r="F20" s="24"/>
      <c r="G20" s="8"/>
      <c r="H20" s="8"/>
      <c r="I20" s="8"/>
      <c r="J20" s="8"/>
      <c r="K20" s="8"/>
      <c r="L20" s="8"/>
      <c r="M20" s="8"/>
      <c r="N20" s="8"/>
      <c r="O20" s="8"/>
      <c r="P20" s="8"/>
      <c r="Q20" s="8"/>
    </row>
    <row r="21" spans="1:17" ht="36" x14ac:dyDescent="0.3">
      <c r="A21" s="22"/>
      <c r="B21" s="483"/>
      <c r="C21" s="41" t="s">
        <v>528</v>
      </c>
      <c r="D21" s="56"/>
      <c r="E21" s="56"/>
      <c r="F21" s="42"/>
      <c r="G21" s="8"/>
      <c r="H21" s="8"/>
      <c r="I21" s="8"/>
      <c r="J21" s="8"/>
      <c r="K21" s="8"/>
      <c r="L21" s="8"/>
      <c r="M21" s="8"/>
      <c r="N21" s="8"/>
      <c r="O21" s="8"/>
      <c r="P21" s="8"/>
      <c r="Q21" s="8"/>
    </row>
    <row r="22" spans="1:17" ht="20.399999999999999" x14ac:dyDescent="0.3">
      <c r="A22" s="22"/>
      <c r="B22" s="484" t="s">
        <v>529</v>
      </c>
      <c r="C22" s="39" t="s">
        <v>530</v>
      </c>
      <c r="D22" s="56"/>
      <c r="E22" s="56"/>
      <c r="F22" s="42"/>
      <c r="G22" s="8"/>
      <c r="H22" s="8"/>
      <c r="I22" s="8"/>
      <c r="J22" s="8"/>
      <c r="K22" s="8"/>
      <c r="L22" s="8"/>
      <c r="M22" s="8"/>
      <c r="N22" s="8"/>
      <c r="O22" s="8"/>
      <c r="P22" s="8"/>
      <c r="Q22" s="8"/>
    </row>
    <row r="23" spans="1:17" ht="36" x14ac:dyDescent="0.3">
      <c r="A23" s="22"/>
      <c r="B23" s="484"/>
      <c r="C23" s="40" t="s">
        <v>531</v>
      </c>
      <c r="D23" s="56"/>
      <c r="E23" s="56"/>
      <c r="F23" s="42"/>
      <c r="G23" s="8"/>
      <c r="H23" s="8"/>
      <c r="I23" s="8"/>
      <c r="J23" s="8"/>
      <c r="K23" s="8"/>
      <c r="L23" s="8"/>
      <c r="M23" s="8"/>
      <c r="N23" s="8"/>
      <c r="O23" s="8"/>
      <c r="P23" s="8"/>
      <c r="Q23" s="8"/>
    </row>
    <row r="24" spans="1:17" ht="36" x14ac:dyDescent="0.3">
      <c r="A24" s="22"/>
      <c r="B24" s="484"/>
      <c r="C24" s="40" t="s">
        <v>532</v>
      </c>
      <c r="D24" s="56"/>
      <c r="E24" s="56"/>
      <c r="F24" s="42"/>
      <c r="G24" s="8"/>
      <c r="H24" s="8"/>
      <c r="I24" s="8"/>
      <c r="J24" s="8"/>
      <c r="K24" s="8"/>
      <c r="L24" s="8"/>
      <c r="M24" s="8"/>
      <c r="N24" s="8"/>
      <c r="O24" s="8"/>
      <c r="P24" s="8"/>
      <c r="Q24" s="8"/>
    </row>
    <row r="25" spans="1:17" ht="20.399999999999999" x14ac:dyDescent="0.3">
      <c r="A25" s="22"/>
      <c r="B25" s="484"/>
      <c r="C25" s="40" t="s">
        <v>533</v>
      </c>
      <c r="D25" s="56"/>
      <c r="E25" s="56"/>
      <c r="F25" s="42"/>
      <c r="G25" s="8"/>
      <c r="H25" s="8"/>
      <c r="I25" s="8"/>
      <c r="J25" s="8"/>
      <c r="K25" s="8"/>
      <c r="L25" s="8"/>
      <c r="M25" s="8"/>
      <c r="N25" s="8"/>
      <c r="O25" s="8"/>
      <c r="P25" s="8"/>
      <c r="Q25" s="8"/>
    </row>
    <row r="26" spans="1:17" ht="36" x14ac:dyDescent="0.3">
      <c r="A26" s="22"/>
      <c r="B26" s="484"/>
      <c r="C26" s="40" t="s">
        <v>534</v>
      </c>
      <c r="D26" s="56"/>
      <c r="E26" s="56"/>
      <c r="F26" s="42"/>
      <c r="G26" s="8"/>
      <c r="H26" s="8"/>
      <c r="I26" s="8"/>
      <c r="J26" s="8"/>
      <c r="K26" s="8"/>
      <c r="L26" s="8"/>
      <c r="M26" s="8"/>
      <c r="N26" s="8"/>
      <c r="O26" s="8"/>
      <c r="P26" s="8"/>
      <c r="Q26" s="8"/>
    </row>
    <row r="27" spans="1:17" ht="36" x14ac:dyDescent="0.3">
      <c r="A27" s="22"/>
      <c r="B27" s="484"/>
      <c r="C27" s="41" t="s">
        <v>535</v>
      </c>
      <c r="D27" s="56"/>
      <c r="E27" s="56"/>
      <c r="F27" s="42"/>
      <c r="G27" s="8"/>
      <c r="H27" s="8"/>
      <c r="I27" s="8"/>
      <c r="J27" s="8"/>
      <c r="K27" s="8"/>
      <c r="L27" s="8"/>
      <c r="M27" s="8"/>
      <c r="N27" s="8"/>
      <c r="O27" s="8"/>
      <c r="P27" s="8"/>
      <c r="Q27" s="8"/>
    </row>
    <row r="28" spans="1:17" ht="20.399999999999999" x14ac:dyDescent="0.3">
      <c r="A28" s="22"/>
      <c r="B28" s="479" t="s">
        <v>536</v>
      </c>
      <c r="C28" s="39" t="s">
        <v>537</v>
      </c>
      <c r="D28" s="56"/>
      <c r="E28" s="56"/>
      <c r="F28" s="42"/>
      <c r="G28" s="8"/>
      <c r="H28" s="8"/>
      <c r="I28" s="8"/>
      <c r="J28" s="8"/>
      <c r="K28" s="8"/>
      <c r="L28" s="8"/>
      <c r="M28" s="8"/>
      <c r="N28" s="8"/>
      <c r="O28" s="8"/>
      <c r="P28" s="8"/>
      <c r="Q28" s="8"/>
    </row>
    <row r="29" spans="1:17" ht="20.399999999999999" x14ac:dyDescent="0.3">
      <c r="A29" s="22"/>
      <c r="B29" s="479"/>
      <c r="C29" s="40" t="s">
        <v>538</v>
      </c>
      <c r="D29" s="56"/>
      <c r="E29" s="56"/>
      <c r="F29" s="42"/>
      <c r="G29" s="8"/>
      <c r="H29" s="8"/>
      <c r="I29" s="8"/>
      <c r="J29" s="8"/>
      <c r="K29" s="8"/>
      <c r="L29" s="8"/>
      <c r="M29" s="8"/>
      <c r="N29" s="8"/>
      <c r="O29" s="8"/>
      <c r="P29" s="8"/>
      <c r="Q29" s="8"/>
    </row>
    <row r="30" spans="1:17" ht="20.399999999999999" x14ac:dyDescent="0.3">
      <c r="A30" s="22"/>
      <c r="B30" s="479"/>
      <c r="C30" s="40" t="s">
        <v>539</v>
      </c>
      <c r="D30" s="56"/>
      <c r="E30" s="56"/>
      <c r="F30" s="42"/>
      <c r="G30" s="8"/>
      <c r="H30" s="8"/>
      <c r="I30" s="8"/>
      <c r="J30" s="8"/>
      <c r="K30" s="8"/>
      <c r="L30" s="8"/>
      <c r="M30" s="8"/>
      <c r="N30" s="8"/>
      <c r="O30" s="8"/>
      <c r="P30" s="8"/>
      <c r="Q30" s="8"/>
    </row>
    <row r="31" spans="1:17" ht="36" x14ac:dyDescent="0.3">
      <c r="A31" s="22"/>
      <c r="B31" s="479"/>
      <c r="C31" s="40" t="s">
        <v>540</v>
      </c>
      <c r="D31" s="56"/>
      <c r="E31" s="56"/>
      <c r="F31" s="42"/>
      <c r="G31" s="8"/>
      <c r="H31" s="8"/>
      <c r="I31" s="8"/>
      <c r="J31" s="8"/>
      <c r="K31" s="8"/>
      <c r="L31" s="8"/>
      <c r="M31" s="8"/>
      <c r="N31" s="8"/>
      <c r="O31" s="8"/>
      <c r="P31" s="8"/>
      <c r="Q31" s="8"/>
    </row>
    <row r="32" spans="1:17" ht="36" x14ac:dyDescent="0.3">
      <c r="A32" s="22"/>
      <c r="B32" s="479"/>
      <c r="C32" s="40" t="s">
        <v>541</v>
      </c>
      <c r="D32" s="56"/>
      <c r="E32" s="56"/>
      <c r="F32" s="42"/>
      <c r="G32" s="8"/>
      <c r="H32" s="8"/>
      <c r="I32" s="8"/>
      <c r="J32" s="8"/>
      <c r="K32" s="8"/>
      <c r="L32" s="8"/>
      <c r="M32" s="8"/>
      <c r="N32" s="8"/>
      <c r="O32" s="8"/>
      <c r="P32" s="8"/>
      <c r="Q32" s="8"/>
    </row>
    <row r="33" spans="1:17" ht="36" x14ac:dyDescent="0.3">
      <c r="A33" s="22"/>
      <c r="B33" s="479"/>
      <c r="C33" s="41" t="s">
        <v>542</v>
      </c>
      <c r="D33" s="56"/>
      <c r="E33" s="56"/>
      <c r="F33" s="42"/>
      <c r="G33" s="8"/>
      <c r="H33" s="8"/>
      <c r="I33" s="8"/>
      <c r="J33" s="8"/>
      <c r="K33" s="8"/>
      <c r="L33" s="8"/>
      <c r="M33" s="8"/>
      <c r="N33" s="8"/>
      <c r="O33" s="8"/>
      <c r="P33" s="8"/>
      <c r="Q33" s="8"/>
    </row>
    <row r="34" spans="1:17" ht="20.399999999999999" x14ac:dyDescent="0.3">
      <c r="A34" s="22"/>
      <c r="B34" s="22"/>
      <c r="C34" s="42"/>
      <c r="D34" s="42"/>
      <c r="E34" s="42"/>
      <c r="F34" s="42"/>
      <c r="G34" s="8"/>
      <c r="H34" s="8"/>
      <c r="I34" s="8"/>
      <c r="J34" s="8"/>
      <c r="K34" s="8"/>
      <c r="L34" s="8"/>
      <c r="M34" s="8"/>
      <c r="N34" s="8"/>
      <c r="O34" s="8"/>
      <c r="P34" s="8"/>
      <c r="Q34" s="8"/>
    </row>
    <row r="35" spans="1:17" ht="20.399999999999999" x14ac:dyDescent="0.3">
      <c r="A35" s="22"/>
      <c r="B35" s="22"/>
      <c r="C35" s="42"/>
      <c r="D35" s="42"/>
      <c r="E35" s="42"/>
      <c r="F35" s="42"/>
      <c r="G35" s="8"/>
      <c r="H35" s="8"/>
      <c r="I35" s="8"/>
      <c r="J35" s="8"/>
      <c r="K35" s="8"/>
      <c r="L35" s="8"/>
      <c r="M35" s="8"/>
      <c r="N35" s="8"/>
      <c r="O35" s="8"/>
      <c r="P35" s="8"/>
      <c r="Q35" s="8"/>
    </row>
    <row r="36" spans="1:17" ht="20.399999999999999" x14ac:dyDescent="0.3">
      <c r="A36" s="22"/>
      <c r="B36" s="22"/>
      <c r="C36" s="42"/>
      <c r="D36" s="42"/>
      <c r="E36" s="42"/>
      <c r="F36" s="42"/>
      <c r="G36" s="8"/>
      <c r="H36" s="8"/>
      <c r="I36" s="8"/>
      <c r="J36" s="8"/>
      <c r="K36" s="8"/>
      <c r="L36" s="8"/>
      <c r="M36" s="8"/>
      <c r="N36" s="8"/>
      <c r="O36" s="8"/>
      <c r="P36" s="8"/>
      <c r="Q36" s="8"/>
    </row>
    <row r="37" spans="1:17" ht="20.399999999999999" x14ac:dyDescent="0.3">
      <c r="A37" s="22"/>
      <c r="B37" s="22"/>
      <c r="C37" s="42"/>
      <c r="D37" s="42"/>
      <c r="E37" s="42"/>
      <c r="F37" s="42"/>
      <c r="G37" s="8"/>
      <c r="H37" s="8"/>
      <c r="I37" s="8"/>
      <c r="J37" s="8"/>
      <c r="K37" s="8"/>
      <c r="L37" s="8"/>
      <c r="M37" s="8"/>
      <c r="N37" s="8"/>
      <c r="O37" s="8"/>
      <c r="P37" s="8"/>
      <c r="Q37" s="8"/>
    </row>
    <row r="38" spans="1:17" ht="20.399999999999999" x14ac:dyDescent="0.3">
      <c r="A38" s="22"/>
      <c r="B38" s="22"/>
      <c r="C38" s="42"/>
      <c r="D38" s="42"/>
      <c r="E38" s="42"/>
      <c r="F38" s="42"/>
      <c r="G38" s="8"/>
      <c r="H38" s="8"/>
      <c r="I38" s="8"/>
      <c r="J38" s="8"/>
      <c r="K38" s="8"/>
      <c r="L38" s="8"/>
      <c r="M38" s="8"/>
      <c r="N38" s="8"/>
      <c r="O38" s="8"/>
      <c r="P38" s="8"/>
      <c r="Q38" s="8"/>
    </row>
    <row r="39" spans="1:17" ht="20.399999999999999" x14ac:dyDescent="0.3">
      <c r="A39" s="22"/>
      <c r="B39" s="22"/>
      <c r="C39" s="42"/>
      <c r="D39" s="42"/>
      <c r="E39" s="42"/>
      <c r="F39" s="42"/>
      <c r="G39" s="8"/>
      <c r="H39" s="8"/>
      <c r="I39" s="8"/>
      <c r="J39" s="8"/>
      <c r="K39" s="8"/>
      <c r="L39" s="8"/>
      <c r="M39" s="8"/>
      <c r="N39" s="8"/>
      <c r="O39" s="8"/>
      <c r="P39" s="8"/>
      <c r="Q39" s="8"/>
    </row>
    <row r="40" spans="1:17" ht="20.399999999999999" x14ac:dyDescent="0.3">
      <c r="A40" s="22"/>
      <c r="B40" s="22"/>
      <c r="C40" s="42"/>
      <c r="D40" s="42"/>
      <c r="E40" s="42"/>
      <c r="F40" s="42"/>
      <c r="G40" s="8"/>
      <c r="H40" s="8"/>
      <c r="I40" s="8"/>
      <c r="J40" s="8"/>
      <c r="K40" s="8"/>
      <c r="L40" s="8"/>
      <c r="M40" s="8"/>
      <c r="N40" s="8"/>
      <c r="O40" s="8"/>
      <c r="P40" s="8"/>
      <c r="Q40" s="8"/>
    </row>
    <row r="41" spans="1:17" ht="20.399999999999999" x14ac:dyDescent="0.3">
      <c r="A41" s="22"/>
      <c r="B41" s="22"/>
      <c r="C41" s="42"/>
      <c r="D41" s="42"/>
      <c r="E41" s="42"/>
      <c r="F41" s="42"/>
      <c r="G41" s="8"/>
      <c r="H41" s="8"/>
      <c r="I41" s="8"/>
      <c r="J41" s="8"/>
      <c r="K41" s="8"/>
      <c r="L41" s="8"/>
      <c r="M41" s="8"/>
      <c r="N41" s="8"/>
      <c r="O41" s="8"/>
      <c r="P41" s="8"/>
      <c r="Q41" s="8"/>
    </row>
    <row r="42" spans="1:17" ht="20.399999999999999" x14ac:dyDescent="0.3">
      <c r="A42" s="22"/>
      <c r="B42" s="22"/>
      <c r="C42" s="42"/>
      <c r="D42" s="42"/>
      <c r="E42" s="42"/>
      <c r="F42" s="42"/>
      <c r="G42" s="8"/>
      <c r="H42" s="8"/>
      <c r="I42" s="8"/>
      <c r="J42" s="8"/>
      <c r="K42" s="8"/>
      <c r="L42" s="8"/>
      <c r="M42" s="8"/>
      <c r="N42" s="8"/>
      <c r="O42" s="8"/>
      <c r="P42" s="8"/>
      <c r="Q42" s="8"/>
    </row>
    <row r="43" spans="1:17" ht="20.399999999999999" x14ac:dyDescent="0.3">
      <c r="A43" s="22"/>
      <c r="B43" s="22"/>
      <c r="C43" s="42"/>
      <c r="D43" s="42"/>
      <c r="E43" s="42"/>
      <c r="F43" s="42"/>
      <c r="G43" s="8"/>
      <c r="H43" s="8"/>
      <c r="I43" s="8"/>
      <c r="J43" s="8"/>
      <c r="K43" s="8"/>
      <c r="L43" s="8"/>
      <c r="M43" s="8"/>
      <c r="N43" s="8"/>
      <c r="O43" s="8"/>
      <c r="P43" s="8"/>
      <c r="Q43" s="8"/>
    </row>
    <row r="44" spans="1:17" ht="20.399999999999999" x14ac:dyDescent="0.3">
      <c r="A44" s="22"/>
      <c r="B44" s="22"/>
      <c r="C44" s="42"/>
      <c r="D44" s="42"/>
      <c r="E44" s="42"/>
      <c r="F44" s="42"/>
      <c r="G44" s="8"/>
      <c r="H44" s="8"/>
      <c r="I44" s="8"/>
      <c r="J44" s="8"/>
      <c r="K44" s="8"/>
      <c r="L44" s="8"/>
      <c r="M44" s="8"/>
      <c r="N44" s="8"/>
      <c r="O44" s="8"/>
      <c r="P44" s="8"/>
      <c r="Q44" s="8"/>
    </row>
    <row r="45" spans="1:17" ht="20.399999999999999" x14ac:dyDescent="0.3">
      <c r="A45" s="22"/>
      <c r="B45" s="22"/>
      <c r="C45" s="42"/>
      <c r="D45" s="42"/>
      <c r="E45" s="42"/>
      <c r="F45" s="42"/>
      <c r="G45" s="8"/>
      <c r="H45" s="8"/>
      <c r="I45" s="8"/>
      <c r="J45" s="8"/>
      <c r="K45" s="8"/>
      <c r="L45" s="8"/>
      <c r="M45" s="8"/>
      <c r="N45" s="8"/>
      <c r="O45" s="8"/>
      <c r="P45" s="8"/>
      <c r="Q45" s="8"/>
    </row>
    <row r="46" spans="1:17" ht="20.399999999999999" x14ac:dyDescent="0.3">
      <c r="A46" s="22"/>
      <c r="B46" s="22"/>
      <c r="C46" s="42"/>
      <c r="D46" s="42"/>
      <c r="E46" s="42"/>
      <c r="F46" s="42"/>
      <c r="G46" s="8"/>
      <c r="H46" s="8"/>
      <c r="I46" s="8"/>
      <c r="J46" s="8"/>
      <c r="K46" s="8"/>
      <c r="L46" s="8"/>
      <c r="M46" s="8"/>
      <c r="N46" s="8"/>
      <c r="O46" s="8"/>
      <c r="P46" s="8"/>
      <c r="Q46" s="8"/>
    </row>
    <row r="47" spans="1:17" ht="20.399999999999999" x14ac:dyDescent="0.3">
      <c r="A47" s="22"/>
      <c r="B47" s="22"/>
      <c r="C47" s="42"/>
      <c r="D47" s="42"/>
      <c r="E47" s="42"/>
      <c r="F47" s="42"/>
      <c r="G47" s="8"/>
      <c r="H47" s="8"/>
      <c r="I47" s="8"/>
      <c r="J47" s="8"/>
      <c r="K47" s="8"/>
      <c r="L47" s="8"/>
      <c r="M47" s="8"/>
      <c r="N47" s="8"/>
      <c r="O47" s="8"/>
      <c r="P47" s="8"/>
      <c r="Q47" s="8"/>
    </row>
    <row r="48" spans="1:17" ht="20.399999999999999" x14ac:dyDescent="0.3">
      <c r="A48" s="22"/>
      <c r="B48" s="22"/>
      <c r="C48" s="42"/>
      <c r="D48" s="42"/>
      <c r="E48" s="42"/>
      <c r="F48" s="42"/>
      <c r="G48" s="8"/>
      <c r="H48" s="8"/>
      <c r="I48" s="8"/>
      <c r="J48" s="8"/>
      <c r="K48" s="8"/>
      <c r="L48" s="8"/>
      <c r="M48" s="8"/>
      <c r="N48" s="8"/>
      <c r="O48" s="8"/>
      <c r="P48" s="8"/>
      <c r="Q48" s="8"/>
    </row>
    <row r="49" spans="1:17" ht="20.399999999999999" x14ac:dyDescent="0.3">
      <c r="A49" s="22"/>
      <c r="B49" s="22"/>
      <c r="C49" s="42"/>
      <c r="D49" s="42"/>
      <c r="E49" s="42"/>
      <c r="F49" s="42"/>
      <c r="G49" s="8"/>
      <c r="H49" s="8"/>
      <c r="I49" s="8"/>
      <c r="J49" s="8"/>
      <c r="K49" s="8"/>
      <c r="L49" s="8"/>
      <c r="M49" s="8"/>
      <c r="N49" s="8"/>
      <c r="O49" s="8"/>
      <c r="P49" s="8"/>
      <c r="Q49" s="8"/>
    </row>
    <row r="50" spans="1:17" ht="20.399999999999999" x14ac:dyDescent="0.3">
      <c r="A50" s="22"/>
      <c r="B50" s="22"/>
      <c r="C50" s="42"/>
      <c r="D50" s="42"/>
      <c r="E50" s="42"/>
      <c r="F50" s="42"/>
      <c r="G50" s="8"/>
      <c r="H50" s="8"/>
      <c r="I50" s="8"/>
      <c r="J50" s="8"/>
      <c r="K50" s="8"/>
      <c r="L50" s="8"/>
      <c r="M50" s="8"/>
      <c r="N50" s="8"/>
      <c r="O50" s="8"/>
      <c r="P50" s="8"/>
      <c r="Q50" s="8"/>
    </row>
    <row r="51" spans="1:17" ht="20.399999999999999" x14ac:dyDescent="0.3">
      <c r="A51" s="22"/>
      <c r="B51" s="5"/>
      <c r="C51" s="43"/>
      <c r="D51" s="43"/>
      <c r="E51" s="43"/>
      <c r="F51" s="43"/>
    </row>
    <row r="52" spans="1:17" ht="20.399999999999999" x14ac:dyDescent="0.3">
      <c r="A52" s="22"/>
      <c r="B52" s="5"/>
      <c r="C52" s="43"/>
      <c r="D52" s="43"/>
      <c r="E52" s="43"/>
      <c r="F52" s="43"/>
    </row>
    <row r="53" spans="1:17" ht="20.399999999999999" x14ac:dyDescent="0.3">
      <c r="A53" s="22"/>
      <c r="B53" s="5"/>
      <c r="C53" s="43"/>
      <c r="D53" s="43"/>
      <c r="E53" s="43"/>
      <c r="F53" s="43"/>
    </row>
    <row r="54" spans="1:17" ht="20.399999999999999" x14ac:dyDescent="0.3">
      <c r="A54" s="22"/>
      <c r="B54" s="5"/>
      <c r="C54" s="43"/>
      <c r="D54" s="43"/>
      <c r="E54" s="43"/>
      <c r="F54" s="43"/>
    </row>
    <row r="55" spans="1:17" ht="20.399999999999999" x14ac:dyDescent="0.3">
      <c r="A55" s="22"/>
      <c r="B55" s="5"/>
      <c r="C55" s="43"/>
      <c r="D55" s="43"/>
      <c r="E55" s="43"/>
      <c r="F55" s="43"/>
    </row>
    <row r="56" spans="1:17" ht="20.399999999999999" x14ac:dyDescent="0.3">
      <c r="A56" s="22"/>
      <c r="B56" s="5"/>
      <c r="C56" s="43"/>
      <c r="D56" s="43"/>
      <c r="E56" s="43"/>
      <c r="F56" s="43"/>
    </row>
    <row r="57" spans="1:17" ht="20.399999999999999" x14ac:dyDescent="0.3">
      <c r="A57" s="22"/>
      <c r="B57" s="5"/>
      <c r="C57" s="43"/>
      <c r="D57" s="43"/>
      <c r="E57" s="43"/>
      <c r="F57" s="43"/>
    </row>
    <row r="58" spans="1:17" ht="20.399999999999999" x14ac:dyDescent="0.3">
      <c r="A58" s="22"/>
      <c r="B58" s="5"/>
      <c r="C58" s="43"/>
      <c r="D58" s="43"/>
      <c r="E58" s="43"/>
      <c r="F58" s="43"/>
    </row>
    <row r="59" spans="1:17" ht="20.399999999999999" x14ac:dyDescent="0.3">
      <c r="A59" s="22"/>
      <c r="B59" s="5"/>
      <c r="C59" s="43"/>
      <c r="D59" s="43"/>
      <c r="E59" s="43"/>
      <c r="F59" s="43"/>
    </row>
    <row r="60" spans="1:17" ht="20.399999999999999" x14ac:dyDescent="0.3">
      <c r="A60" s="22"/>
      <c r="B60" s="5"/>
      <c r="C60" s="43"/>
      <c r="D60" s="43"/>
      <c r="E60" s="43"/>
      <c r="F60" s="43"/>
    </row>
    <row r="61" spans="1:17" ht="20.399999999999999" x14ac:dyDescent="0.3">
      <c r="A61" s="22"/>
      <c r="B61" s="5"/>
      <c r="C61" s="43"/>
      <c r="D61" s="43"/>
      <c r="E61" s="43"/>
      <c r="F61" s="43"/>
    </row>
    <row r="62" spans="1:17" ht="20.399999999999999" x14ac:dyDescent="0.3">
      <c r="A62" s="22"/>
      <c r="B62" s="5"/>
      <c r="C62" s="43"/>
      <c r="D62" s="43"/>
      <c r="E62" s="43"/>
      <c r="F62" s="43"/>
    </row>
    <row r="63" spans="1:17" ht="20.399999999999999" x14ac:dyDescent="0.3">
      <c r="A63" s="22"/>
      <c r="B63" s="5"/>
      <c r="C63" s="43"/>
      <c r="D63" s="43"/>
      <c r="E63" s="43"/>
      <c r="F63" s="43"/>
    </row>
    <row r="64" spans="1:17" ht="20.399999999999999" x14ac:dyDescent="0.3">
      <c r="A64" s="22"/>
      <c r="B64" s="5"/>
      <c r="C64" s="43"/>
      <c r="D64" s="43"/>
      <c r="E64" s="43"/>
      <c r="F64" s="43"/>
    </row>
    <row r="65" spans="1:6" ht="20.399999999999999" x14ac:dyDescent="0.3">
      <c r="A65" s="22"/>
      <c r="B65" s="5"/>
      <c r="C65" s="43"/>
      <c r="D65" s="43"/>
      <c r="E65" s="43"/>
      <c r="F65" s="43"/>
    </row>
    <row r="66" spans="1:6" ht="20.399999999999999" x14ac:dyDescent="0.3">
      <c r="A66" s="22"/>
      <c r="B66" s="5"/>
      <c r="C66" s="43"/>
      <c r="D66" s="43"/>
      <c r="E66" s="43"/>
      <c r="F66" s="43"/>
    </row>
    <row r="67" spans="1:6" ht="20.399999999999999" x14ac:dyDescent="0.3">
      <c r="A67" s="22"/>
      <c r="B67" s="5"/>
      <c r="C67" s="43"/>
      <c r="D67" s="43"/>
      <c r="E67" s="43"/>
      <c r="F67" s="43"/>
    </row>
    <row r="68" spans="1:6" ht="20.399999999999999" x14ac:dyDescent="0.3">
      <c r="A68" s="22"/>
      <c r="B68" s="5"/>
      <c r="C68" s="43"/>
      <c r="D68" s="43"/>
      <c r="E68" s="43"/>
      <c r="F68" s="43"/>
    </row>
    <row r="69" spans="1:6" ht="20.399999999999999" x14ac:dyDescent="0.3">
      <c r="A69" s="22"/>
      <c r="B69" s="5"/>
      <c r="C69" s="43"/>
      <c r="D69" s="43"/>
      <c r="E69" s="43"/>
      <c r="F69" s="43"/>
    </row>
    <row r="70" spans="1:6" ht="20.399999999999999" x14ac:dyDescent="0.3">
      <c r="A70" s="22"/>
      <c r="B70" s="5"/>
      <c r="C70" s="43"/>
      <c r="D70" s="43"/>
      <c r="E70" s="43"/>
      <c r="F70" s="43"/>
    </row>
    <row r="71" spans="1:6" ht="20.399999999999999" x14ac:dyDescent="0.3">
      <c r="A71" s="22"/>
      <c r="B71" s="5"/>
      <c r="C71" s="43"/>
      <c r="D71" s="43"/>
      <c r="E71" s="43"/>
      <c r="F71" s="43"/>
    </row>
    <row r="72" spans="1:6" ht="20.399999999999999" x14ac:dyDescent="0.3">
      <c r="A72" s="22"/>
      <c r="B72" s="5"/>
      <c r="C72" s="43"/>
      <c r="D72" s="43"/>
      <c r="E72" s="43"/>
      <c r="F72" s="43"/>
    </row>
    <row r="73" spans="1:6" ht="20.399999999999999" x14ac:dyDescent="0.3">
      <c r="A73" s="22"/>
      <c r="B73" s="5"/>
      <c r="C73" s="43"/>
      <c r="D73" s="43"/>
      <c r="E73" s="43"/>
      <c r="F73" s="43"/>
    </row>
    <row r="74" spans="1:6" ht="20.399999999999999" x14ac:dyDescent="0.3">
      <c r="A74" s="22"/>
      <c r="B74" s="5"/>
      <c r="C74" s="43"/>
      <c r="D74" s="43"/>
      <c r="E74" s="43"/>
      <c r="F74" s="43"/>
    </row>
    <row r="75" spans="1:6" ht="20.399999999999999" x14ac:dyDescent="0.3">
      <c r="A75" s="22"/>
      <c r="B75" s="5"/>
      <c r="C75" s="43"/>
      <c r="D75" s="43"/>
      <c r="E75" s="43"/>
      <c r="F75" s="43"/>
    </row>
    <row r="76" spans="1:6" ht="20.399999999999999" x14ac:dyDescent="0.3">
      <c r="A76" s="22"/>
      <c r="B76" s="5"/>
      <c r="C76" s="43"/>
      <c r="D76" s="43"/>
      <c r="E76" s="43"/>
      <c r="F76" s="43"/>
    </row>
    <row r="77" spans="1:6" ht="20.399999999999999" x14ac:dyDescent="0.3">
      <c r="A77" s="22"/>
      <c r="B77" s="5"/>
      <c r="C77" s="43"/>
      <c r="D77" s="43"/>
      <c r="E77" s="43"/>
      <c r="F77" s="43"/>
    </row>
    <row r="78" spans="1:6" ht="20.399999999999999" x14ac:dyDescent="0.3">
      <c r="A78" s="22"/>
      <c r="B78" s="5"/>
      <c r="C78" s="43"/>
      <c r="D78" s="43"/>
      <c r="E78" s="43"/>
      <c r="F78" s="43"/>
    </row>
    <row r="79" spans="1:6" ht="20.399999999999999" x14ac:dyDescent="0.3">
      <c r="A79" s="22"/>
      <c r="B79" s="5"/>
      <c r="C79" s="43"/>
      <c r="D79" s="43"/>
      <c r="E79" s="43"/>
      <c r="F79" s="43"/>
    </row>
    <row r="80" spans="1:6" ht="20.399999999999999" x14ac:dyDescent="0.3">
      <c r="A80" s="22"/>
      <c r="B80" s="5"/>
      <c r="C80" s="43"/>
      <c r="D80" s="43"/>
      <c r="E80" s="43"/>
      <c r="F80" s="43"/>
    </row>
    <row r="81" spans="1:6" ht="20.399999999999999" x14ac:dyDescent="0.3">
      <c r="A81" s="22"/>
      <c r="B81" s="5"/>
      <c r="C81" s="43"/>
      <c r="D81" s="43"/>
      <c r="E81" s="43"/>
      <c r="F81" s="43"/>
    </row>
    <row r="82" spans="1:6" ht="20.399999999999999" x14ac:dyDescent="0.3">
      <c r="A82" s="22"/>
      <c r="B82" s="5"/>
      <c r="C82" s="43"/>
      <c r="D82" s="43"/>
      <c r="E82" s="43"/>
      <c r="F82" s="43"/>
    </row>
    <row r="83" spans="1:6" ht="20.399999999999999" x14ac:dyDescent="0.3">
      <c r="A83" s="22"/>
      <c r="B83" s="5"/>
      <c r="C83" s="43"/>
      <c r="D83" s="43"/>
      <c r="E83" s="43"/>
      <c r="F83" s="43"/>
    </row>
    <row r="84" spans="1:6" ht="20.399999999999999" x14ac:dyDescent="0.3">
      <c r="A84" s="22"/>
      <c r="B84" s="5"/>
      <c r="C84" s="43"/>
      <c r="D84" s="43"/>
      <c r="E84" s="43"/>
      <c r="F84" s="43"/>
    </row>
    <row r="85" spans="1:6" ht="20.399999999999999" x14ac:dyDescent="0.3">
      <c r="A85" s="22"/>
      <c r="B85" s="5"/>
      <c r="C85" s="43"/>
      <c r="D85" s="43"/>
      <c r="E85" s="43"/>
      <c r="F85" s="43"/>
    </row>
    <row r="86" spans="1:6" ht="20.399999999999999" x14ac:dyDescent="0.3">
      <c r="A86" s="22"/>
      <c r="B86" s="5"/>
      <c r="C86" s="43"/>
      <c r="D86" s="43"/>
      <c r="E86" s="43"/>
      <c r="F86" s="43"/>
    </row>
    <row r="87" spans="1:6" ht="20.399999999999999" x14ac:dyDescent="0.3">
      <c r="A87" s="22"/>
      <c r="B87" s="5"/>
      <c r="C87" s="43"/>
      <c r="D87" s="43"/>
      <c r="E87" s="43"/>
      <c r="F87" s="43"/>
    </row>
    <row r="88" spans="1:6" ht="20.399999999999999" x14ac:dyDescent="0.3">
      <c r="A88" s="22"/>
      <c r="B88" s="5"/>
      <c r="C88" s="43"/>
      <c r="D88" s="43"/>
      <c r="E88" s="43"/>
      <c r="F88" s="43"/>
    </row>
    <row r="89" spans="1:6" ht="20.399999999999999" x14ac:dyDescent="0.3">
      <c r="A89" s="22"/>
      <c r="B89" s="5"/>
      <c r="C89" s="43"/>
      <c r="D89" s="43"/>
      <c r="E89" s="43"/>
      <c r="F89" s="43"/>
    </row>
    <row r="90" spans="1:6" ht="20.399999999999999" x14ac:dyDescent="0.3">
      <c r="A90" s="22"/>
      <c r="B90" s="5"/>
      <c r="C90" s="43"/>
      <c r="D90" s="43"/>
      <c r="E90" s="43"/>
      <c r="F90" s="43"/>
    </row>
    <row r="91" spans="1:6" ht="20.399999999999999" x14ac:dyDescent="0.3">
      <c r="A91" s="22"/>
      <c r="B91" s="5"/>
      <c r="C91" s="43"/>
      <c r="D91" s="43"/>
      <c r="E91" s="43"/>
      <c r="F91" s="43"/>
    </row>
    <row r="92" spans="1:6" ht="20.399999999999999" x14ac:dyDescent="0.3">
      <c r="A92" s="22"/>
      <c r="B92" s="5"/>
      <c r="C92" s="43"/>
      <c r="D92" s="43"/>
      <c r="E92" s="43"/>
      <c r="F92" s="43"/>
    </row>
    <row r="93" spans="1:6" ht="20.399999999999999" x14ac:dyDescent="0.3">
      <c r="A93" s="22"/>
      <c r="B93" s="5"/>
      <c r="C93" s="43"/>
      <c r="D93" s="43"/>
      <c r="E93" s="43"/>
      <c r="F93" s="43"/>
    </row>
    <row r="94" spans="1:6" ht="20.399999999999999" x14ac:dyDescent="0.3">
      <c r="A94" s="22"/>
      <c r="B94" s="5"/>
      <c r="C94" s="43"/>
      <c r="D94" s="43"/>
      <c r="E94" s="43"/>
      <c r="F94" s="43"/>
    </row>
    <row r="95" spans="1:6" ht="20.399999999999999" x14ac:dyDescent="0.3">
      <c r="A95" s="22"/>
      <c r="B95" s="5"/>
      <c r="C95" s="43"/>
      <c r="D95" s="43"/>
      <c r="E95" s="43"/>
      <c r="F95" s="43"/>
    </row>
    <row r="96" spans="1:6" ht="20.399999999999999" x14ac:dyDescent="0.3">
      <c r="A96" s="22"/>
      <c r="B96" s="5"/>
      <c r="C96" s="43"/>
      <c r="D96" s="43"/>
      <c r="E96" s="43"/>
      <c r="F96" s="43"/>
    </row>
    <row r="97" spans="1:6" ht="20.399999999999999" x14ac:dyDescent="0.3">
      <c r="A97" s="22"/>
      <c r="B97" s="5"/>
      <c r="C97" s="43"/>
      <c r="D97" s="43"/>
      <c r="E97" s="43"/>
      <c r="F97" s="43"/>
    </row>
    <row r="98" spans="1:6" ht="20.399999999999999" x14ac:dyDescent="0.3">
      <c r="A98" s="22"/>
      <c r="B98" s="5"/>
      <c r="C98" s="43"/>
      <c r="D98" s="43"/>
      <c r="E98" s="43"/>
      <c r="F98" s="43"/>
    </row>
    <row r="99" spans="1:6" ht="20.399999999999999" x14ac:dyDescent="0.3">
      <c r="A99" s="22"/>
      <c r="B99" s="5"/>
      <c r="C99" s="43"/>
      <c r="D99" s="43"/>
      <c r="E99" s="43"/>
      <c r="F99" s="43"/>
    </row>
    <row r="100" spans="1:6" ht="20.399999999999999" x14ac:dyDescent="0.3">
      <c r="A100" s="22"/>
      <c r="B100" s="5"/>
      <c r="C100" s="43"/>
      <c r="D100" s="43"/>
      <c r="E100" s="43"/>
      <c r="F100" s="43"/>
    </row>
    <row r="101" spans="1:6" ht="20.399999999999999" x14ac:dyDescent="0.3">
      <c r="A101" s="22"/>
      <c r="B101" s="5"/>
      <c r="C101" s="43"/>
      <c r="D101" s="43"/>
      <c r="E101" s="43"/>
      <c r="F101" s="43"/>
    </row>
    <row r="102" spans="1:6" ht="20.399999999999999" x14ac:dyDescent="0.3">
      <c r="A102" s="22"/>
      <c r="B102" s="5"/>
      <c r="C102" s="43"/>
      <c r="D102" s="43"/>
      <c r="E102" s="43"/>
      <c r="F102" s="43"/>
    </row>
    <row r="103" spans="1:6" ht="20.399999999999999" x14ac:dyDescent="0.3">
      <c r="A103" s="22"/>
      <c r="B103" s="5"/>
      <c r="C103" s="43"/>
      <c r="D103" s="43"/>
      <c r="E103" s="43"/>
      <c r="F103" s="43"/>
    </row>
    <row r="104" spans="1:6" ht="20.399999999999999" x14ac:dyDescent="0.3">
      <c r="A104" s="22"/>
      <c r="B104" s="5"/>
      <c r="C104" s="43"/>
      <c r="D104" s="43"/>
      <c r="E104" s="43"/>
      <c r="F104" s="43"/>
    </row>
    <row r="105" spans="1:6" ht="20.399999999999999" x14ac:dyDescent="0.3">
      <c r="A105" s="22"/>
      <c r="B105" s="5"/>
      <c r="C105" s="43"/>
      <c r="D105" s="43"/>
      <c r="E105" s="43"/>
      <c r="F105" s="43"/>
    </row>
    <row r="106" spans="1:6" ht="20.399999999999999" x14ac:dyDescent="0.3">
      <c r="A106" s="22"/>
      <c r="B106" s="5"/>
      <c r="C106" s="43"/>
      <c r="D106" s="43"/>
      <c r="E106" s="43"/>
      <c r="F106" s="43"/>
    </row>
    <row r="107" spans="1:6" ht="20.399999999999999" x14ac:dyDescent="0.3">
      <c r="A107" s="22"/>
      <c r="B107" s="5"/>
      <c r="C107" s="43"/>
      <c r="D107" s="43"/>
      <c r="E107" s="43"/>
      <c r="F107" s="43"/>
    </row>
    <row r="108" spans="1:6" ht="20.399999999999999" x14ac:dyDescent="0.3">
      <c r="A108" s="22"/>
      <c r="B108" s="5"/>
      <c r="C108" s="43"/>
      <c r="D108" s="43"/>
      <c r="E108" s="43"/>
      <c r="F108" s="43"/>
    </row>
    <row r="109" spans="1:6" ht="20.399999999999999" x14ac:dyDescent="0.3">
      <c r="A109" s="22"/>
      <c r="B109" s="5"/>
      <c r="C109" s="43"/>
      <c r="D109" s="43"/>
      <c r="E109" s="43"/>
      <c r="F109" s="43"/>
    </row>
    <row r="110" spans="1:6" ht="20.399999999999999" x14ac:dyDescent="0.3">
      <c r="A110" s="22"/>
      <c r="B110" s="5"/>
      <c r="C110" s="43"/>
      <c r="D110" s="43"/>
      <c r="E110" s="43"/>
      <c r="F110" s="43"/>
    </row>
    <row r="111" spans="1:6" ht="20.399999999999999" x14ac:dyDescent="0.3">
      <c r="A111" s="22"/>
      <c r="B111" s="5"/>
      <c r="C111" s="43"/>
      <c r="D111" s="43"/>
      <c r="E111" s="43"/>
      <c r="F111" s="43"/>
    </row>
    <row r="112" spans="1:6" ht="20.399999999999999" x14ac:dyDescent="0.3">
      <c r="A112" s="22"/>
      <c r="B112" s="5"/>
      <c r="C112" s="43"/>
      <c r="D112" s="43"/>
      <c r="E112" s="43"/>
      <c r="F112" s="43"/>
    </row>
    <row r="113" spans="1:6" ht="20.399999999999999" x14ac:dyDescent="0.3">
      <c r="A113" s="22"/>
      <c r="B113" s="5"/>
      <c r="C113" s="43"/>
      <c r="D113" s="43"/>
      <c r="E113" s="43"/>
      <c r="F113" s="43"/>
    </row>
    <row r="114" spans="1:6" ht="20.399999999999999" x14ac:dyDescent="0.3">
      <c r="A114" s="22"/>
      <c r="B114" s="5"/>
      <c r="C114" s="43"/>
      <c r="D114" s="43"/>
      <c r="E114" s="43"/>
      <c r="F114" s="43"/>
    </row>
    <row r="115" spans="1:6" ht="20.399999999999999" x14ac:dyDescent="0.3">
      <c r="A115" s="22"/>
      <c r="B115" s="5"/>
      <c r="C115" s="43"/>
      <c r="D115" s="43"/>
      <c r="E115" s="43"/>
      <c r="F115" s="43"/>
    </row>
    <row r="116" spans="1:6" ht="20.399999999999999" x14ac:dyDescent="0.3">
      <c r="A116" s="22"/>
      <c r="B116" s="5"/>
      <c r="C116" s="43"/>
      <c r="D116" s="43"/>
      <c r="E116" s="43"/>
      <c r="F116" s="43"/>
    </row>
    <row r="117" spans="1:6" ht="20.399999999999999" x14ac:dyDescent="0.3">
      <c r="A117" s="22"/>
      <c r="B117" s="5"/>
      <c r="C117" s="43"/>
      <c r="D117" s="43"/>
      <c r="E117" s="43"/>
      <c r="F117" s="43"/>
    </row>
    <row r="118" spans="1:6" ht="20.399999999999999" x14ac:dyDescent="0.3">
      <c r="A118" s="22"/>
      <c r="B118" s="5"/>
      <c r="C118" s="43"/>
      <c r="D118" s="43"/>
      <c r="E118" s="43"/>
      <c r="F118" s="43"/>
    </row>
    <row r="119" spans="1:6" ht="20.399999999999999" x14ac:dyDescent="0.3">
      <c r="A119" s="22"/>
      <c r="B119" s="5"/>
      <c r="C119" s="43"/>
      <c r="D119" s="43"/>
      <c r="E119" s="43"/>
      <c r="F119" s="43"/>
    </row>
    <row r="120" spans="1:6" ht="20.399999999999999" x14ac:dyDescent="0.3">
      <c r="A120" s="22"/>
      <c r="B120" s="5"/>
      <c r="C120" s="43"/>
      <c r="D120" s="43"/>
      <c r="E120" s="43"/>
      <c r="F120" s="43"/>
    </row>
    <row r="121" spans="1:6" ht="20.399999999999999" x14ac:dyDescent="0.3">
      <c r="A121" s="22"/>
      <c r="B121" s="5"/>
      <c r="C121" s="43"/>
      <c r="D121" s="43"/>
      <c r="E121" s="43"/>
      <c r="F121" s="43"/>
    </row>
    <row r="122" spans="1:6" ht="20.399999999999999" x14ac:dyDescent="0.3">
      <c r="A122" s="22"/>
      <c r="B122" s="5"/>
      <c r="C122" s="43"/>
      <c r="D122" s="43"/>
      <c r="E122" s="43"/>
      <c r="F122" s="43"/>
    </row>
    <row r="123" spans="1:6" ht="20.399999999999999" x14ac:dyDescent="0.3">
      <c r="A123" s="22"/>
      <c r="B123" s="5"/>
      <c r="C123" s="43"/>
      <c r="D123" s="43"/>
      <c r="E123" s="43"/>
      <c r="F123" s="43"/>
    </row>
    <row r="124" spans="1:6" ht="20.399999999999999" x14ac:dyDescent="0.3">
      <c r="A124" s="22"/>
      <c r="B124" s="5"/>
      <c r="C124" s="43"/>
      <c r="D124" s="43"/>
      <c r="E124" s="43"/>
      <c r="F124" s="43"/>
    </row>
    <row r="125" spans="1:6" ht="20.399999999999999" x14ac:dyDescent="0.3">
      <c r="A125" s="22"/>
      <c r="B125" s="5"/>
      <c r="C125" s="43"/>
      <c r="D125" s="43"/>
      <c r="E125" s="43"/>
      <c r="F125" s="43"/>
    </row>
    <row r="126" spans="1:6" ht="20.399999999999999" x14ac:dyDescent="0.3">
      <c r="A126" s="22"/>
      <c r="B126" s="5"/>
      <c r="C126" s="43"/>
      <c r="D126" s="43"/>
      <c r="E126" s="43"/>
      <c r="F126" s="43"/>
    </row>
    <row r="127" spans="1:6" ht="20.399999999999999" x14ac:dyDescent="0.3">
      <c r="A127" s="22"/>
      <c r="B127" s="5"/>
      <c r="C127" s="43"/>
      <c r="D127" s="43"/>
      <c r="E127" s="43"/>
      <c r="F127" s="43"/>
    </row>
    <row r="128" spans="1:6" ht="20.399999999999999" x14ac:dyDescent="0.3">
      <c r="A128" s="22"/>
      <c r="B128" s="5"/>
      <c r="C128" s="43"/>
      <c r="D128" s="43"/>
      <c r="E128" s="43"/>
      <c r="F128" s="43"/>
    </row>
    <row r="129" spans="1:6" ht="20.399999999999999" x14ac:dyDescent="0.3">
      <c r="A129" s="22"/>
      <c r="B129" s="5"/>
      <c r="C129" s="43"/>
      <c r="D129" s="43"/>
      <c r="E129" s="43"/>
      <c r="F129" s="43"/>
    </row>
    <row r="130" spans="1:6" ht="20.399999999999999" x14ac:dyDescent="0.3">
      <c r="A130" s="22"/>
      <c r="B130" s="5"/>
      <c r="C130" s="43"/>
      <c r="D130" s="43"/>
      <c r="E130" s="43"/>
      <c r="F130" s="43"/>
    </row>
    <row r="131" spans="1:6" ht="20.399999999999999" x14ac:dyDescent="0.3">
      <c r="A131" s="22"/>
      <c r="B131" s="5"/>
      <c r="C131" s="43"/>
      <c r="D131" s="43"/>
      <c r="E131" s="43"/>
      <c r="F131" s="43"/>
    </row>
    <row r="132" spans="1:6" ht="20.399999999999999" x14ac:dyDescent="0.3">
      <c r="A132" s="22"/>
      <c r="B132" s="5"/>
      <c r="C132" s="43"/>
      <c r="D132" s="43"/>
      <c r="E132" s="43"/>
      <c r="F132" s="43"/>
    </row>
    <row r="133" spans="1:6" ht="20.399999999999999" x14ac:dyDescent="0.3">
      <c r="A133" s="22"/>
      <c r="B133" s="5"/>
      <c r="C133" s="43"/>
      <c r="D133" s="43"/>
      <c r="E133" s="43"/>
      <c r="F133" s="43"/>
    </row>
    <row r="134" spans="1:6" ht="20.399999999999999" x14ac:dyDescent="0.3">
      <c r="A134" s="22"/>
      <c r="B134" s="5"/>
      <c r="C134" s="43"/>
      <c r="D134" s="43"/>
      <c r="E134" s="43"/>
      <c r="F134" s="43"/>
    </row>
    <row r="135" spans="1:6" ht="20.399999999999999" x14ac:dyDescent="0.3">
      <c r="A135" s="22"/>
      <c r="B135" s="5"/>
      <c r="C135" s="43"/>
      <c r="D135" s="43"/>
      <c r="E135" s="43"/>
      <c r="F135" s="43"/>
    </row>
    <row r="136" spans="1:6" ht="20.399999999999999" x14ac:dyDescent="0.3">
      <c r="A136" s="22"/>
      <c r="B136" s="5"/>
      <c r="C136" s="43"/>
      <c r="D136" s="43"/>
      <c r="E136" s="43"/>
      <c r="F136" s="43"/>
    </row>
    <row r="137" spans="1:6" ht="20.399999999999999" x14ac:dyDescent="0.3">
      <c r="A137" s="22"/>
      <c r="B137" s="5"/>
      <c r="C137" s="43"/>
      <c r="D137" s="43"/>
      <c r="E137" s="43"/>
      <c r="F137" s="43"/>
    </row>
    <row r="138" spans="1:6" ht="20.399999999999999" x14ac:dyDescent="0.3">
      <c r="A138" s="22"/>
      <c r="B138" s="5"/>
      <c r="C138" s="43"/>
      <c r="D138" s="43"/>
      <c r="E138" s="43"/>
      <c r="F138" s="43"/>
    </row>
    <row r="139" spans="1:6" ht="20.399999999999999" x14ac:dyDescent="0.3">
      <c r="A139" s="22"/>
      <c r="B139" s="5"/>
      <c r="C139" s="43"/>
      <c r="D139" s="43"/>
      <c r="E139" s="43"/>
      <c r="F139" s="43"/>
    </row>
    <row r="140" spans="1:6" ht="20.399999999999999" x14ac:dyDescent="0.3">
      <c r="A140" s="22"/>
      <c r="B140" s="5"/>
      <c r="C140" s="43"/>
      <c r="D140" s="43"/>
      <c r="E140" s="43"/>
      <c r="F140" s="43"/>
    </row>
    <row r="141" spans="1:6" ht="20.399999999999999" x14ac:dyDescent="0.3">
      <c r="A141" s="22"/>
      <c r="B141" s="5"/>
      <c r="C141" s="43"/>
      <c r="D141" s="43"/>
      <c r="E141" s="43"/>
      <c r="F141" s="43"/>
    </row>
    <row r="142" spans="1:6" ht="20.399999999999999" x14ac:dyDescent="0.3">
      <c r="A142" s="22"/>
      <c r="B142" s="5"/>
      <c r="C142" s="43"/>
      <c r="D142" s="43"/>
      <c r="E142" s="43"/>
      <c r="F142" s="43"/>
    </row>
    <row r="143" spans="1:6" ht="20.399999999999999" x14ac:dyDescent="0.3">
      <c r="A143" s="22"/>
      <c r="B143" s="5"/>
      <c r="C143" s="43"/>
      <c r="D143" s="43"/>
      <c r="E143" s="43"/>
      <c r="F143" s="43"/>
    </row>
    <row r="144" spans="1:6" ht="20.399999999999999" x14ac:dyDescent="0.3">
      <c r="A144" s="22"/>
      <c r="B144" s="5"/>
      <c r="C144" s="43"/>
      <c r="D144" s="43"/>
      <c r="E144" s="43"/>
      <c r="F144" s="43"/>
    </row>
    <row r="145" spans="1:6" ht="20.399999999999999" x14ac:dyDescent="0.3">
      <c r="A145" s="22"/>
      <c r="B145" s="5"/>
      <c r="C145" s="43"/>
      <c r="D145" s="43"/>
      <c r="E145" s="43"/>
      <c r="F145" s="43"/>
    </row>
    <row r="146" spans="1:6" ht="20.399999999999999" x14ac:dyDescent="0.3">
      <c r="A146" s="22"/>
      <c r="B146" s="5"/>
      <c r="C146" s="43"/>
      <c r="D146" s="43"/>
      <c r="E146" s="43"/>
      <c r="F146" s="43"/>
    </row>
    <row r="147" spans="1:6" ht="20.399999999999999" x14ac:dyDescent="0.3">
      <c r="A147" s="22"/>
      <c r="B147" s="5"/>
      <c r="C147" s="43"/>
      <c r="D147" s="43"/>
      <c r="E147" s="43"/>
      <c r="F147" s="43"/>
    </row>
    <row r="148" spans="1:6" ht="20.399999999999999" x14ac:dyDescent="0.3">
      <c r="A148" s="22"/>
      <c r="B148" s="5"/>
      <c r="C148" s="43"/>
      <c r="D148" s="43"/>
      <c r="E148" s="43"/>
      <c r="F148" s="43"/>
    </row>
    <row r="149" spans="1:6" ht="20.399999999999999" x14ac:dyDescent="0.3">
      <c r="A149" s="22"/>
      <c r="B149" s="5"/>
      <c r="C149" s="43"/>
      <c r="D149" s="43"/>
      <c r="E149" s="43"/>
      <c r="F149" s="43"/>
    </row>
    <row r="150" spans="1:6" ht="20.399999999999999" x14ac:dyDescent="0.3">
      <c r="A150" s="22"/>
      <c r="B150" s="5"/>
      <c r="C150" s="43"/>
      <c r="D150" s="43"/>
      <c r="E150" s="43"/>
      <c r="F150" s="43"/>
    </row>
    <row r="151" spans="1:6" ht="20.399999999999999" x14ac:dyDescent="0.3">
      <c r="A151" s="22"/>
      <c r="B151" s="5"/>
      <c r="C151" s="43"/>
      <c r="D151" s="43"/>
      <c r="E151" s="43"/>
      <c r="F151" s="43"/>
    </row>
    <row r="152" spans="1:6" ht="20.399999999999999" x14ac:dyDescent="0.3">
      <c r="A152" s="22"/>
      <c r="B152" s="5"/>
      <c r="C152" s="43"/>
      <c r="D152" s="43"/>
      <c r="E152" s="43"/>
      <c r="F152" s="43"/>
    </row>
    <row r="153" spans="1:6" ht="20.399999999999999" x14ac:dyDescent="0.3">
      <c r="A153" s="22"/>
      <c r="B153" s="5"/>
      <c r="C153" s="43"/>
      <c r="D153" s="43"/>
      <c r="E153" s="43"/>
      <c r="F153" s="43"/>
    </row>
    <row r="154" spans="1:6" ht="20.399999999999999" x14ac:dyDescent="0.3">
      <c r="A154" s="22"/>
      <c r="B154" s="5"/>
      <c r="C154" s="43"/>
      <c r="D154" s="43"/>
      <c r="E154" s="43"/>
      <c r="F154" s="43"/>
    </row>
    <row r="155" spans="1:6" ht="20.399999999999999" x14ac:dyDescent="0.3">
      <c r="A155" s="22"/>
      <c r="B155" s="5"/>
      <c r="C155" s="43"/>
      <c r="D155" s="43"/>
      <c r="E155" s="43"/>
      <c r="F155" s="43"/>
    </row>
    <row r="156" spans="1:6" ht="20.399999999999999" x14ac:dyDescent="0.3">
      <c r="A156" s="22"/>
      <c r="B156" s="5"/>
      <c r="C156" s="43"/>
      <c r="D156" s="43"/>
      <c r="E156" s="43"/>
      <c r="F156" s="43"/>
    </row>
    <row r="157" spans="1:6" ht="20.399999999999999" x14ac:dyDescent="0.3">
      <c r="A157" s="22"/>
      <c r="B157" s="5"/>
      <c r="C157" s="43"/>
      <c r="D157" s="43"/>
      <c r="E157" s="43"/>
      <c r="F157" s="43"/>
    </row>
    <row r="158" spans="1:6" ht="20.399999999999999" x14ac:dyDescent="0.3">
      <c r="A158" s="22"/>
      <c r="B158" s="5"/>
      <c r="C158" s="43"/>
      <c r="D158" s="43"/>
      <c r="E158" s="43"/>
      <c r="F158" s="43"/>
    </row>
    <row r="159" spans="1:6" ht="20.399999999999999" x14ac:dyDescent="0.3">
      <c r="A159" s="22"/>
      <c r="B159" s="5"/>
      <c r="C159" s="43"/>
      <c r="D159" s="43"/>
      <c r="E159" s="43"/>
      <c r="F159" s="43"/>
    </row>
    <row r="160" spans="1:6" ht="20.399999999999999" x14ac:dyDescent="0.3">
      <c r="A160" s="22"/>
      <c r="B160" s="5"/>
      <c r="C160" s="43"/>
      <c r="D160" s="43"/>
      <c r="E160" s="43"/>
      <c r="F160" s="43"/>
    </row>
    <row r="161" spans="1:6" ht="20.399999999999999" x14ac:dyDescent="0.3">
      <c r="A161" s="22"/>
      <c r="B161" s="5"/>
      <c r="C161" s="43"/>
      <c r="D161" s="43"/>
      <c r="E161" s="43"/>
      <c r="F161" s="43"/>
    </row>
    <row r="162" spans="1:6" ht="20.399999999999999" x14ac:dyDescent="0.3">
      <c r="A162" s="22"/>
      <c r="B162" s="5"/>
      <c r="C162" s="43"/>
      <c r="D162" s="43"/>
      <c r="E162" s="43"/>
      <c r="F162" s="43"/>
    </row>
    <row r="163" spans="1:6" ht="20.399999999999999" x14ac:dyDescent="0.3">
      <c r="A163" s="22"/>
      <c r="B163" s="5"/>
      <c r="C163" s="43"/>
      <c r="D163" s="43"/>
      <c r="E163" s="43"/>
      <c r="F163" s="43"/>
    </row>
    <row r="164" spans="1:6" ht="20.399999999999999" x14ac:dyDescent="0.3">
      <c r="A164" s="22"/>
      <c r="B164" s="5"/>
      <c r="C164" s="43"/>
      <c r="D164" s="43"/>
      <c r="E164" s="43"/>
      <c r="F164" s="43"/>
    </row>
    <row r="165" spans="1:6" ht="20.399999999999999" x14ac:dyDescent="0.3">
      <c r="A165" s="22"/>
      <c r="B165" s="5"/>
      <c r="C165" s="43"/>
      <c r="D165" s="43"/>
      <c r="E165" s="43"/>
      <c r="F165" s="43"/>
    </row>
    <row r="166" spans="1:6" ht="20.399999999999999" x14ac:dyDescent="0.3">
      <c r="A166" s="22"/>
      <c r="B166" s="5"/>
      <c r="C166" s="43"/>
      <c r="D166" s="43"/>
      <c r="E166" s="43"/>
      <c r="F166" s="43"/>
    </row>
    <row r="167" spans="1:6" ht="20.399999999999999" x14ac:dyDescent="0.3">
      <c r="A167" s="22"/>
      <c r="B167" s="5"/>
      <c r="C167" s="43"/>
      <c r="D167" s="43"/>
      <c r="E167" s="43"/>
      <c r="F167" s="43"/>
    </row>
    <row r="168" spans="1:6" ht="20.399999999999999" x14ac:dyDescent="0.3">
      <c r="A168" s="22"/>
      <c r="B168" s="5"/>
      <c r="C168" s="43"/>
      <c r="D168" s="43"/>
      <c r="E168" s="43"/>
      <c r="F168" s="43"/>
    </row>
    <row r="169" spans="1:6" ht="20.399999999999999" x14ac:dyDescent="0.3">
      <c r="A169" s="22"/>
      <c r="B169" s="5"/>
      <c r="C169" s="43"/>
      <c r="D169" s="43"/>
      <c r="E169" s="43"/>
      <c r="F169" s="43"/>
    </row>
    <row r="170" spans="1:6" ht="20.399999999999999" x14ac:dyDescent="0.3">
      <c r="A170" s="22"/>
      <c r="B170" s="5"/>
      <c r="C170" s="43"/>
      <c r="D170" s="43"/>
      <c r="E170" s="43"/>
      <c r="F170" s="43"/>
    </row>
    <row r="171" spans="1:6" ht="20.399999999999999" x14ac:dyDescent="0.3">
      <c r="A171" s="22"/>
      <c r="B171" s="5"/>
      <c r="C171" s="43"/>
      <c r="D171" s="43"/>
      <c r="E171" s="43"/>
      <c r="F171" s="43"/>
    </row>
    <row r="172" spans="1:6" ht="20.399999999999999" x14ac:dyDescent="0.3">
      <c r="A172" s="22"/>
      <c r="B172" s="5"/>
      <c r="C172" s="43"/>
      <c r="D172" s="43"/>
      <c r="E172" s="43"/>
      <c r="F172" s="43"/>
    </row>
    <row r="173" spans="1:6" ht="20.399999999999999" x14ac:dyDescent="0.3">
      <c r="A173" s="22"/>
      <c r="B173" s="5"/>
      <c r="C173" s="43"/>
      <c r="D173" s="43"/>
      <c r="E173" s="43"/>
      <c r="F173" s="43"/>
    </row>
    <row r="174" spans="1:6" ht="20.399999999999999" x14ac:dyDescent="0.3">
      <c r="A174" s="22"/>
      <c r="B174" s="5"/>
      <c r="C174" s="43"/>
      <c r="D174" s="43"/>
      <c r="E174" s="43"/>
      <c r="F174" s="43"/>
    </row>
    <row r="175" spans="1:6" ht="20.399999999999999" x14ac:dyDescent="0.3">
      <c r="A175" s="22"/>
      <c r="B175" s="5"/>
      <c r="C175" s="43"/>
      <c r="D175" s="43"/>
      <c r="E175" s="43"/>
      <c r="F175" s="43"/>
    </row>
    <row r="176" spans="1:6" ht="20.399999999999999" x14ac:dyDescent="0.3">
      <c r="A176" s="22"/>
      <c r="B176" s="5"/>
      <c r="C176" s="43"/>
      <c r="D176" s="43"/>
      <c r="E176" s="43"/>
      <c r="F176" s="43"/>
    </row>
    <row r="177" spans="1:6" ht="20.399999999999999" x14ac:dyDescent="0.3">
      <c r="A177" s="22"/>
      <c r="B177" s="5"/>
      <c r="C177" s="43"/>
      <c r="D177" s="43"/>
      <c r="E177" s="43"/>
      <c r="F177" s="43"/>
    </row>
    <row r="178" spans="1:6" ht="20.399999999999999" x14ac:dyDescent="0.3">
      <c r="A178" s="22"/>
      <c r="B178" s="5"/>
      <c r="C178" s="43"/>
      <c r="D178" s="43"/>
      <c r="E178" s="43"/>
      <c r="F178" s="43"/>
    </row>
    <row r="179" spans="1:6" ht="20.399999999999999" x14ac:dyDescent="0.3">
      <c r="A179" s="22"/>
      <c r="B179" s="5"/>
      <c r="C179" s="43"/>
      <c r="D179" s="43"/>
      <c r="E179" s="43"/>
      <c r="F179" s="43"/>
    </row>
    <row r="180" spans="1:6" ht="20.399999999999999" x14ac:dyDescent="0.3">
      <c r="A180" s="22"/>
      <c r="B180" s="5"/>
      <c r="C180" s="43"/>
      <c r="D180" s="43"/>
      <c r="E180" s="43"/>
      <c r="F180" s="43"/>
    </row>
    <row r="181" spans="1:6" ht="20.399999999999999" x14ac:dyDescent="0.3">
      <c r="A181" s="22"/>
      <c r="B181" s="5"/>
      <c r="C181" s="43"/>
      <c r="D181" s="43"/>
      <c r="E181" s="43"/>
      <c r="F181" s="43"/>
    </row>
    <row r="182" spans="1:6" ht="20.399999999999999" x14ac:dyDescent="0.3">
      <c r="A182" s="22"/>
      <c r="B182" s="5"/>
      <c r="C182" s="43"/>
      <c r="D182" s="43"/>
      <c r="E182" s="43"/>
      <c r="F182" s="43"/>
    </row>
    <row r="183" spans="1:6" ht="20.399999999999999" x14ac:dyDescent="0.3">
      <c r="A183" s="22"/>
      <c r="B183" s="5"/>
      <c r="C183" s="43"/>
      <c r="D183" s="43"/>
      <c r="E183" s="43"/>
      <c r="F183" s="43"/>
    </row>
    <row r="184" spans="1:6" ht="20.399999999999999" x14ac:dyDescent="0.3">
      <c r="A184" s="22"/>
      <c r="B184" s="5"/>
      <c r="C184" s="43"/>
      <c r="D184" s="43"/>
      <c r="E184" s="43"/>
      <c r="F184" s="43"/>
    </row>
    <row r="185" spans="1:6" ht="20.399999999999999" x14ac:dyDescent="0.3">
      <c r="A185" s="22"/>
      <c r="B185" s="5"/>
      <c r="C185" s="43"/>
      <c r="D185" s="43"/>
      <c r="E185" s="43"/>
      <c r="F185" s="43"/>
    </row>
    <row r="186" spans="1:6" ht="20.399999999999999" x14ac:dyDescent="0.3">
      <c r="A186" s="22"/>
      <c r="B186" s="5"/>
      <c r="C186" s="43"/>
      <c r="D186" s="43"/>
      <c r="E186" s="43"/>
      <c r="F186" s="43"/>
    </row>
    <row r="187" spans="1:6" ht="20.399999999999999" x14ac:dyDescent="0.3">
      <c r="A187" s="22"/>
      <c r="B187" s="5"/>
      <c r="C187" s="43"/>
      <c r="D187" s="43"/>
      <c r="E187" s="43"/>
      <c r="F187" s="43"/>
    </row>
    <row r="188" spans="1:6" ht="20.399999999999999" x14ac:dyDescent="0.3">
      <c r="A188" s="22"/>
      <c r="B188" s="5"/>
      <c r="C188" s="43"/>
      <c r="D188" s="43"/>
      <c r="E188" s="43"/>
      <c r="F188" s="43"/>
    </row>
    <row r="189" spans="1:6" ht="20.399999999999999" x14ac:dyDescent="0.3">
      <c r="A189" s="22"/>
      <c r="B189" s="5"/>
      <c r="C189" s="43"/>
      <c r="D189" s="43"/>
      <c r="E189" s="43"/>
      <c r="F189" s="43"/>
    </row>
    <row r="190" spans="1:6" ht="20.399999999999999" x14ac:dyDescent="0.3">
      <c r="A190" s="22"/>
      <c r="B190" s="5"/>
      <c r="C190" s="43"/>
      <c r="D190" s="43"/>
      <c r="E190" s="43"/>
      <c r="F190" s="43"/>
    </row>
    <row r="191" spans="1:6" ht="20.399999999999999" x14ac:dyDescent="0.3">
      <c r="A191" s="22"/>
      <c r="B191" s="5"/>
      <c r="C191" s="43"/>
      <c r="D191" s="43"/>
      <c r="E191" s="43"/>
      <c r="F191" s="43"/>
    </row>
    <row r="192" spans="1:6" ht="20.399999999999999" x14ac:dyDescent="0.3">
      <c r="A192" s="22"/>
      <c r="B192" s="5"/>
      <c r="C192" s="43"/>
      <c r="D192" s="43"/>
      <c r="E192" s="43"/>
      <c r="F192" s="43"/>
    </row>
    <row r="193" spans="1:7" ht="20.399999999999999" x14ac:dyDescent="0.3">
      <c r="A193" s="22"/>
      <c r="B193" s="5"/>
      <c r="C193" s="43"/>
      <c r="D193" s="43"/>
      <c r="E193" s="43"/>
      <c r="F193" s="43"/>
    </row>
    <row r="194" spans="1:7" ht="20.399999999999999" x14ac:dyDescent="0.3">
      <c r="A194" s="22"/>
      <c r="B194" s="5"/>
      <c r="C194" s="43"/>
      <c r="D194" s="43"/>
      <c r="E194" s="43"/>
      <c r="F194" s="43"/>
    </row>
    <row r="195" spans="1:7" ht="20.399999999999999" x14ac:dyDescent="0.3">
      <c r="A195" s="22"/>
      <c r="B195" s="5"/>
      <c r="C195" s="43"/>
      <c r="D195" s="43"/>
      <c r="E195" s="43"/>
      <c r="F195" s="43"/>
    </row>
    <row r="196" spans="1:7" ht="20.399999999999999" x14ac:dyDescent="0.3">
      <c r="A196" s="22"/>
      <c r="B196" s="5"/>
      <c r="C196" s="43"/>
      <c r="D196" s="43"/>
      <c r="E196" s="43"/>
      <c r="F196" s="43"/>
    </row>
    <row r="197" spans="1:7" ht="20.399999999999999" x14ac:dyDescent="0.3">
      <c r="A197" s="22"/>
      <c r="B197" s="5"/>
      <c r="C197" s="43"/>
      <c r="D197" s="43"/>
      <c r="E197" s="43"/>
      <c r="F197" s="43"/>
    </row>
    <row r="198" spans="1:7" ht="20.399999999999999" x14ac:dyDescent="0.3">
      <c r="A198" s="22"/>
      <c r="B198" s="5"/>
      <c r="C198" s="43"/>
      <c r="D198" s="43"/>
      <c r="E198" s="43"/>
      <c r="F198" s="43"/>
    </row>
    <row r="199" spans="1:7" ht="20.399999999999999" x14ac:dyDescent="0.3">
      <c r="A199" s="22"/>
      <c r="B199" s="5"/>
      <c r="C199" s="43"/>
      <c r="D199" s="43"/>
      <c r="E199" s="43"/>
      <c r="F199" s="43"/>
    </row>
    <row r="200" spans="1:7" ht="20.399999999999999" x14ac:dyDescent="0.3">
      <c r="A200" s="22"/>
      <c r="B200" s="5"/>
      <c r="C200" s="43"/>
      <c r="D200" s="43"/>
      <c r="E200" s="43"/>
      <c r="F200" s="43"/>
    </row>
    <row r="201" spans="1:7" ht="20.399999999999999" x14ac:dyDescent="0.3">
      <c r="A201" s="22"/>
      <c r="B201" s="5"/>
      <c r="C201" s="43"/>
      <c r="D201" s="43"/>
      <c r="E201" s="43"/>
      <c r="F201" s="43"/>
    </row>
    <row r="202" spans="1:7" ht="20.399999999999999" x14ac:dyDescent="0.3">
      <c r="A202" s="22"/>
      <c r="B202" s="5"/>
      <c r="C202" s="43"/>
      <c r="D202" s="43"/>
      <c r="E202" s="43"/>
      <c r="F202" s="43"/>
    </row>
    <row r="203" spans="1:7" ht="20.399999999999999" x14ac:dyDescent="0.3">
      <c r="A203" s="22"/>
      <c r="B203" s="5"/>
      <c r="C203" s="43"/>
      <c r="D203" s="43"/>
      <c r="E203" s="43"/>
      <c r="F203" s="43"/>
    </row>
    <row r="204" spans="1:7" ht="20.399999999999999" x14ac:dyDescent="0.3">
      <c r="A204" s="22"/>
      <c r="B204" s="5"/>
      <c r="C204" s="43"/>
      <c r="D204" s="43"/>
      <c r="E204" s="43"/>
      <c r="F204" s="43"/>
    </row>
    <row r="205" spans="1:7" ht="20.399999999999999" x14ac:dyDescent="0.3">
      <c r="A205" s="22"/>
      <c r="B205" s="5"/>
      <c r="C205" s="43"/>
      <c r="D205" s="43"/>
      <c r="E205" s="43"/>
      <c r="F205" s="43"/>
    </row>
    <row r="206" spans="1:7" ht="20.399999999999999" x14ac:dyDescent="0.3">
      <c r="A206" s="22"/>
      <c r="B206" s="5"/>
      <c r="C206" s="43"/>
      <c r="D206" s="43"/>
      <c r="E206" s="43"/>
      <c r="F206" s="43"/>
    </row>
    <row r="207" spans="1:7" x14ac:dyDescent="0.3">
      <c r="A207" s="8"/>
      <c r="B207" s="5"/>
      <c r="C207" s="5"/>
      <c r="D207" s="5"/>
      <c r="E207" s="5"/>
      <c r="F207" s="5"/>
    </row>
    <row r="208" spans="1:7" ht="20.399999999999999" x14ac:dyDescent="0.3">
      <c r="A208" s="8"/>
      <c r="B208" s="44" t="s">
        <v>543</v>
      </c>
      <c r="C208" s="44" t="s">
        <v>544</v>
      </c>
      <c r="D208" s="44"/>
      <c r="E208" s="44"/>
      <c r="F208" t="s">
        <v>543</v>
      </c>
      <c r="G208" t="s">
        <v>544</v>
      </c>
    </row>
    <row r="209" spans="1:10" ht="21" x14ac:dyDescent="0.4">
      <c r="A209" s="8"/>
      <c r="B209" s="45" t="s">
        <v>545</v>
      </c>
      <c r="C209" s="45" t="s">
        <v>546</v>
      </c>
      <c r="D209" s="45"/>
      <c r="E209" s="45"/>
      <c r="F209" t="s">
        <v>545</v>
      </c>
      <c r="H209" t="str">
        <f>IF(NOT(ISBLANK(F209)),F209,IF(NOT(ISBLANK(G209)),"     "&amp;G209,FALSE))</f>
        <v>Afectación Económica o presupuestal</v>
      </c>
      <c r="I209" t="s">
        <v>545</v>
      </c>
      <c r="J209" t="str">
        <f>IF(NOT(ISERROR(MATCH(I209,_xlfn.ANCHORARRAY(B220),0))),H222&amp;"Por favor no seleccionar los criterios de impacto",I209)</f>
        <v>❌Por favor no seleccionar los criterios de impacto</v>
      </c>
    </row>
    <row r="210" spans="1:10" ht="21" x14ac:dyDescent="0.4">
      <c r="A210" s="8"/>
      <c r="B210" s="45" t="s">
        <v>545</v>
      </c>
      <c r="C210" s="45" t="s">
        <v>547</v>
      </c>
      <c r="D210" s="45"/>
      <c r="E210" s="45"/>
      <c r="G210" t="s">
        <v>546</v>
      </c>
      <c r="H210" t="str">
        <f t="shared" ref="H210:H220" si="0">IF(NOT(ISBLANK(F210)),F210,IF(NOT(ISBLANK(G210)),"     "&amp;G210,FALSE))</f>
        <v xml:space="preserve">     Afectación menor a 10 SMLMV .</v>
      </c>
    </row>
    <row r="211" spans="1:10" ht="21" x14ac:dyDescent="0.4">
      <c r="A211" s="8"/>
      <c r="B211" s="45" t="s">
        <v>545</v>
      </c>
      <c r="C211" s="45" t="s">
        <v>548</v>
      </c>
      <c r="D211" s="45"/>
      <c r="E211" s="45"/>
      <c r="G211" t="s">
        <v>547</v>
      </c>
      <c r="H211" t="str">
        <f t="shared" si="0"/>
        <v xml:space="preserve">     Entre 10 y 50 SMLMV </v>
      </c>
    </row>
    <row r="212" spans="1:10" ht="21" x14ac:dyDescent="0.4">
      <c r="A212" s="8"/>
      <c r="B212" s="45" t="s">
        <v>545</v>
      </c>
      <c r="C212" s="45" t="s">
        <v>549</v>
      </c>
      <c r="D212" s="45"/>
      <c r="E212" s="45"/>
      <c r="G212" t="s">
        <v>548</v>
      </c>
      <c r="H212" t="str">
        <f t="shared" si="0"/>
        <v xml:space="preserve">     Entre 50 y 100 SMLMV </v>
      </c>
    </row>
    <row r="213" spans="1:10" ht="21" x14ac:dyDescent="0.4">
      <c r="A213" s="8"/>
      <c r="B213" s="45" t="s">
        <v>545</v>
      </c>
      <c r="C213" s="45" t="s">
        <v>550</v>
      </c>
      <c r="D213" s="45"/>
      <c r="E213" s="45"/>
      <c r="G213" t="s">
        <v>549</v>
      </c>
      <c r="H213" t="str">
        <f t="shared" si="0"/>
        <v xml:space="preserve">     Entre 100 y 500 SMLMV </v>
      </c>
    </row>
    <row r="214" spans="1:10" ht="21" x14ac:dyDescent="0.4">
      <c r="A214" s="8"/>
      <c r="B214" s="45" t="s">
        <v>551</v>
      </c>
      <c r="C214" s="45" t="s">
        <v>552</v>
      </c>
      <c r="D214" s="45"/>
      <c r="E214" s="45"/>
      <c r="G214" t="s">
        <v>550</v>
      </c>
      <c r="H214" t="str">
        <f t="shared" si="0"/>
        <v xml:space="preserve">     Mayor a 500 SMLMV </v>
      </c>
    </row>
    <row r="215" spans="1:10" ht="21" x14ac:dyDescent="0.4">
      <c r="A215" s="8"/>
      <c r="B215" s="45" t="s">
        <v>551</v>
      </c>
      <c r="C215" s="45" t="s">
        <v>553</v>
      </c>
      <c r="D215" s="45"/>
      <c r="E215" s="45"/>
      <c r="F215" t="s">
        <v>551</v>
      </c>
      <c r="H215" t="str">
        <f t="shared" si="0"/>
        <v>Pérdida Reputacional</v>
      </c>
    </row>
    <row r="216" spans="1:10" ht="21" x14ac:dyDescent="0.4">
      <c r="A216" s="8"/>
      <c r="B216" s="45" t="s">
        <v>551</v>
      </c>
      <c r="C216" s="45" t="s">
        <v>554</v>
      </c>
      <c r="D216" s="45"/>
      <c r="E216" s="45"/>
      <c r="G216" t="s">
        <v>552</v>
      </c>
      <c r="H216" t="str">
        <f t="shared" si="0"/>
        <v xml:space="preserve">     El riesgo afecta la imagen de alguna área de la organización</v>
      </c>
    </row>
    <row r="217" spans="1:10" ht="21" x14ac:dyDescent="0.4">
      <c r="A217" s="8"/>
      <c r="B217" s="45" t="s">
        <v>551</v>
      </c>
      <c r="C217" s="45" t="s">
        <v>555</v>
      </c>
      <c r="D217" s="45"/>
      <c r="E217" s="45"/>
      <c r="G217" t="s">
        <v>553</v>
      </c>
      <c r="H217" t="str">
        <f t="shared" si="0"/>
        <v xml:space="preserve">     El riesgo afecta la imagen de la entidad internamente, de conocimiento general, nivel interno, de junta dircetiva y accionistas y/o de provedores</v>
      </c>
    </row>
    <row r="218" spans="1:10" ht="21" x14ac:dyDescent="0.4">
      <c r="A218" s="8"/>
      <c r="B218" s="45" t="s">
        <v>551</v>
      </c>
      <c r="C218" s="45" t="s">
        <v>556</v>
      </c>
      <c r="D218" s="45"/>
      <c r="E218" s="45"/>
      <c r="G218" t="s">
        <v>554</v>
      </c>
      <c r="H218" t="str">
        <f t="shared" si="0"/>
        <v xml:space="preserve">     El riesgo afecta la imagen de la entidad con algunos usuarios de relevancia frente al logro de los objetivos</v>
      </c>
    </row>
    <row r="219" spans="1:10" x14ac:dyDescent="0.3">
      <c r="A219" s="8"/>
      <c r="B219" s="6"/>
      <c r="C219" s="6"/>
      <c r="D219" s="6"/>
      <c r="E219" s="6"/>
      <c r="G219" t="s">
        <v>555</v>
      </c>
      <c r="H219" t="str">
        <f t="shared" si="0"/>
        <v xml:space="preserve">     El riesgo afecta la imagen de de la entidad con efecto publicitario sostenido a nivel de sector administrativo, nivel departamental o municipal</v>
      </c>
    </row>
    <row r="220" spans="1:10" x14ac:dyDescent="0.3">
      <c r="A220" s="8"/>
      <c r="B220" s="6" t="str" cm="1">
        <f t="array" ref="B220:B222">_xlfn.UNIQUE(Tabla13[[#All],[Criterios]])</f>
        <v>Criterios</v>
      </c>
      <c r="C220" s="6"/>
      <c r="D220" s="6"/>
      <c r="E220" s="6"/>
      <c r="G220" t="s">
        <v>556</v>
      </c>
      <c r="H220" t="str">
        <f t="shared" si="0"/>
        <v xml:space="preserve">     El riesgo afecta la imagen de la entidad a nivel nacional, con efecto publicitarios sostenible a nivel país</v>
      </c>
    </row>
    <row r="221" spans="1:10" x14ac:dyDescent="0.3">
      <c r="A221" s="8"/>
      <c r="B221" s="6" t="str">
        <v>Afectación Económica o presupuestal</v>
      </c>
      <c r="C221" s="6"/>
      <c r="D221" s="6"/>
      <c r="E221" s="6"/>
    </row>
    <row r="222" spans="1:10" x14ac:dyDescent="0.3">
      <c r="B222" s="6" t="str">
        <v>Pérdida Reputacional</v>
      </c>
      <c r="C222" s="6"/>
      <c r="D222" s="6"/>
      <c r="E222" s="6"/>
      <c r="H222" s="7" t="s">
        <v>557</v>
      </c>
    </row>
    <row r="223" spans="1:10" x14ac:dyDescent="0.3">
      <c r="B223" s="4"/>
      <c r="C223" s="4"/>
      <c r="D223" s="4"/>
      <c r="E223" s="4"/>
      <c r="H223" s="7" t="s">
        <v>558</v>
      </c>
    </row>
    <row r="224" spans="1:10" x14ac:dyDescent="0.3">
      <c r="B224" s="4"/>
      <c r="C224" s="4"/>
      <c r="D224" s="4"/>
      <c r="E224" s="4"/>
    </row>
    <row r="225" spans="2:6" x14ac:dyDescent="0.3">
      <c r="B225" s="4"/>
      <c r="C225" s="4"/>
      <c r="D225" s="4"/>
      <c r="E225" s="4"/>
    </row>
    <row r="226" spans="2:6" x14ac:dyDescent="0.3">
      <c r="B226" s="4"/>
      <c r="C226" s="4"/>
      <c r="D226" s="4"/>
      <c r="E226" s="4"/>
      <c r="F226" s="4"/>
    </row>
    <row r="227" spans="2:6" x14ac:dyDescent="0.3">
      <c r="B227" s="4"/>
      <c r="C227" s="4"/>
      <c r="D227" s="4"/>
      <c r="E227" s="4"/>
      <c r="F227" s="4"/>
    </row>
    <row r="228" spans="2:6" x14ac:dyDescent="0.3">
      <c r="B228" s="4"/>
      <c r="C228" s="4"/>
      <c r="D228" s="4"/>
      <c r="E228" s="4"/>
      <c r="F228" s="4"/>
    </row>
    <row r="229" spans="2:6" x14ac:dyDescent="0.3">
      <c r="B229" s="4"/>
      <c r="C229" s="4"/>
      <c r="D229" s="4"/>
      <c r="E229" s="4"/>
      <c r="F229" s="4"/>
    </row>
    <row r="230" spans="2:6" x14ac:dyDescent="0.3">
      <c r="B230" s="4"/>
      <c r="C230" s="4"/>
      <c r="D230" s="4"/>
      <c r="E230" s="4"/>
      <c r="F230" s="4"/>
    </row>
    <row r="231" spans="2:6" x14ac:dyDescent="0.3">
      <c r="B231" s="4"/>
      <c r="C231" s="4"/>
      <c r="D231" s="4"/>
      <c r="E231" s="4"/>
      <c r="F231" s="4"/>
    </row>
  </sheetData>
  <mergeCells count="6">
    <mergeCell ref="B28:B33"/>
    <mergeCell ref="B1:C1"/>
    <mergeCell ref="B4:B9"/>
    <mergeCell ref="B10:B15"/>
    <mergeCell ref="B16:B21"/>
    <mergeCell ref="B22:B27"/>
  </mergeCells>
  <dataValidations count="1">
    <dataValidation type="list" allowBlank="1" showInputMessage="1" showErrorMessage="1" sqref="I209" xr:uid="{12CDEB05-1AE8-46D6-B633-E3EC0DBC5026}">
      <formula1>$H$209:$H$220</formula1>
    </dataValidation>
  </dataValidations>
  <pageMargins left="0.7" right="0.7" top="0.75" bottom="0.75" header="0.3" footer="0.3"/>
  <pageSetup orientation="portrait"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7" tint="-0.249977111117893"/>
  </sheetPr>
  <dimension ref="B1:F21"/>
  <sheetViews>
    <sheetView workbookViewId="0">
      <selection activeCell="D6" sqref="D6"/>
    </sheetView>
  </sheetViews>
  <sheetFormatPr baseColWidth="10" defaultColWidth="14.33203125" defaultRowHeight="13.8" x14ac:dyDescent="0.3"/>
  <cols>
    <col min="1" max="2" width="14.33203125" style="9"/>
    <col min="3" max="3" width="17" style="9" customWidth="1"/>
    <col min="4" max="4" width="14.33203125" style="9"/>
    <col min="5" max="5" width="46" style="9" customWidth="1"/>
    <col min="6" max="16384" width="14.33203125" style="9"/>
  </cols>
  <sheetData>
    <row r="1" spans="2:6" ht="24" customHeight="1" thickBot="1" x14ac:dyDescent="0.35">
      <c r="B1" s="485" t="s">
        <v>559</v>
      </c>
      <c r="C1" s="486"/>
      <c r="D1" s="486"/>
      <c r="E1" s="486"/>
      <c r="F1" s="487"/>
    </row>
    <row r="2" spans="2:6" ht="16.2" thickBot="1" x14ac:dyDescent="0.35">
      <c r="B2" s="10"/>
      <c r="C2" s="10"/>
      <c r="D2" s="10"/>
      <c r="E2" s="10"/>
      <c r="F2" s="10"/>
    </row>
    <row r="3" spans="2:6" ht="16.2" thickBot="1" x14ac:dyDescent="0.35">
      <c r="B3" s="489" t="s">
        <v>560</v>
      </c>
      <c r="C3" s="490"/>
      <c r="D3" s="490"/>
      <c r="E3" s="46" t="s">
        <v>502</v>
      </c>
      <c r="F3" s="47" t="s">
        <v>561</v>
      </c>
    </row>
    <row r="4" spans="2:6" ht="31.2" x14ac:dyDescent="0.3">
      <c r="B4" s="491" t="s">
        <v>562</v>
      </c>
      <c r="C4" s="493" t="s">
        <v>141</v>
      </c>
      <c r="D4" s="11" t="s">
        <v>159</v>
      </c>
      <c r="E4" s="12" t="s">
        <v>563</v>
      </c>
      <c r="F4" s="13">
        <v>0.25</v>
      </c>
    </row>
    <row r="5" spans="2:6" ht="46.8" x14ac:dyDescent="0.3">
      <c r="B5" s="492"/>
      <c r="C5" s="494"/>
      <c r="D5" s="14" t="s">
        <v>190</v>
      </c>
      <c r="E5" s="15" t="s">
        <v>564</v>
      </c>
      <c r="F5" s="16">
        <v>0.15</v>
      </c>
    </row>
    <row r="6" spans="2:6" ht="46.8" x14ac:dyDescent="0.3">
      <c r="B6" s="492"/>
      <c r="C6" s="494"/>
      <c r="D6" s="14" t="s">
        <v>228</v>
      </c>
      <c r="E6" s="15" t="s">
        <v>565</v>
      </c>
      <c r="F6" s="16">
        <v>0.1</v>
      </c>
    </row>
    <row r="7" spans="2:6" ht="15.6" x14ac:dyDescent="0.3">
      <c r="B7" s="492"/>
      <c r="C7" s="14"/>
      <c r="D7" s="14" t="s">
        <v>393</v>
      </c>
      <c r="E7" s="15"/>
      <c r="F7" s="16"/>
    </row>
    <row r="8" spans="2:6" ht="62.4" x14ac:dyDescent="0.3">
      <c r="B8" s="492"/>
      <c r="C8" s="494" t="s">
        <v>142</v>
      </c>
      <c r="D8" s="14" t="s">
        <v>566</v>
      </c>
      <c r="E8" s="15" t="s">
        <v>567</v>
      </c>
      <c r="F8" s="16">
        <v>0.25</v>
      </c>
    </row>
    <row r="9" spans="2:6" ht="31.2" x14ac:dyDescent="0.3">
      <c r="B9" s="492"/>
      <c r="C9" s="494"/>
      <c r="D9" s="14" t="s">
        <v>160</v>
      </c>
      <c r="E9" s="15" t="s">
        <v>568</v>
      </c>
      <c r="F9" s="16">
        <v>0.15</v>
      </c>
    </row>
    <row r="10" spans="2:6" ht="15.6" x14ac:dyDescent="0.3">
      <c r="B10" s="31"/>
      <c r="C10" s="14"/>
      <c r="D10" s="14" t="s">
        <v>393</v>
      </c>
      <c r="E10" s="15"/>
      <c r="F10" s="16"/>
    </row>
    <row r="11" spans="2:6" ht="46.8" x14ac:dyDescent="0.3">
      <c r="B11" s="492" t="s">
        <v>569</v>
      </c>
      <c r="C11" s="494" t="s">
        <v>144</v>
      </c>
      <c r="D11" s="14" t="s">
        <v>186</v>
      </c>
      <c r="E11" s="15" t="s">
        <v>570</v>
      </c>
      <c r="F11" s="17" t="s">
        <v>571</v>
      </c>
    </row>
    <row r="12" spans="2:6" ht="46.8" x14ac:dyDescent="0.3">
      <c r="B12" s="492"/>
      <c r="C12" s="494"/>
      <c r="D12" s="14" t="s">
        <v>161</v>
      </c>
      <c r="E12" s="15" t="s">
        <v>572</v>
      </c>
      <c r="F12" s="17" t="s">
        <v>571</v>
      </c>
    </row>
    <row r="13" spans="2:6" ht="15.6" x14ac:dyDescent="0.3">
      <c r="B13" s="492"/>
      <c r="C13" s="14"/>
      <c r="D13" s="14" t="s">
        <v>393</v>
      </c>
      <c r="E13" s="15"/>
      <c r="F13" s="17"/>
    </row>
    <row r="14" spans="2:6" ht="46.8" x14ac:dyDescent="0.3">
      <c r="B14" s="492"/>
      <c r="C14" s="494" t="s">
        <v>145</v>
      </c>
      <c r="D14" s="14" t="s">
        <v>205</v>
      </c>
      <c r="E14" s="15" t="s">
        <v>573</v>
      </c>
      <c r="F14" s="17" t="s">
        <v>571</v>
      </c>
    </row>
    <row r="15" spans="2:6" ht="46.8" x14ac:dyDescent="0.3">
      <c r="B15" s="492"/>
      <c r="C15" s="494"/>
      <c r="D15" s="14" t="s">
        <v>162</v>
      </c>
      <c r="E15" s="15" t="s">
        <v>574</v>
      </c>
      <c r="F15" s="17" t="s">
        <v>571</v>
      </c>
    </row>
    <row r="16" spans="2:6" ht="15.6" x14ac:dyDescent="0.3">
      <c r="B16" s="492"/>
      <c r="C16" s="14"/>
      <c r="D16" s="14" t="s">
        <v>393</v>
      </c>
      <c r="E16" s="15"/>
      <c r="F16" s="17"/>
    </row>
    <row r="17" spans="2:6" ht="31.2" x14ac:dyDescent="0.3">
      <c r="B17" s="492"/>
      <c r="C17" s="494" t="s">
        <v>146</v>
      </c>
      <c r="D17" s="14" t="s">
        <v>163</v>
      </c>
      <c r="E17" s="15" t="s">
        <v>575</v>
      </c>
      <c r="F17" s="17" t="s">
        <v>571</v>
      </c>
    </row>
    <row r="18" spans="2:6" ht="16.2" thickBot="1" x14ac:dyDescent="0.35">
      <c r="B18" s="495"/>
      <c r="C18" s="496"/>
      <c r="D18" s="18" t="s">
        <v>576</v>
      </c>
      <c r="E18" s="19" t="s">
        <v>577</v>
      </c>
      <c r="F18" s="20" t="s">
        <v>571</v>
      </c>
    </row>
    <row r="19" spans="2:6" ht="15.6" hidden="1" x14ac:dyDescent="0.3">
      <c r="B19" s="58"/>
      <c r="C19" s="58"/>
      <c r="D19" s="14" t="s">
        <v>393</v>
      </c>
      <c r="E19" s="59"/>
      <c r="F19" s="60"/>
    </row>
    <row r="20" spans="2:6" ht="49.5" customHeight="1" x14ac:dyDescent="0.3">
      <c r="B20" s="488" t="s">
        <v>578</v>
      </c>
      <c r="C20" s="488"/>
      <c r="D20" s="488"/>
      <c r="E20" s="488"/>
      <c r="F20" s="488"/>
    </row>
    <row r="21" spans="2:6" ht="27" customHeight="1" x14ac:dyDescent="0.3">
      <c r="B21" s="21"/>
    </row>
  </sheetData>
  <mergeCells count="10">
    <mergeCell ref="B1:F1"/>
    <mergeCell ref="B20:F20"/>
    <mergeCell ref="B3:D3"/>
    <mergeCell ref="B4:B9"/>
    <mergeCell ref="C4:C6"/>
    <mergeCell ref="C8:C9"/>
    <mergeCell ref="B11:B18"/>
    <mergeCell ref="C11:C12"/>
    <mergeCell ref="C14:C15"/>
    <mergeCell ref="C17:C18"/>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3:A21"/>
  <sheetViews>
    <sheetView workbookViewId="0">
      <selection activeCell="A19" sqref="A19"/>
    </sheetView>
  </sheetViews>
  <sheetFormatPr baseColWidth="10" defaultColWidth="11.44140625" defaultRowHeight="13.8" x14ac:dyDescent="0.3"/>
  <cols>
    <col min="1" max="1" width="32.88671875" style="1" customWidth="1"/>
    <col min="2" max="16384" width="11.44140625" style="1"/>
  </cols>
  <sheetData>
    <row r="3" spans="1:1" x14ac:dyDescent="0.3">
      <c r="A3" s="2" t="s">
        <v>159</v>
      </c>
    </row>
    <row r="4" spans="1:1" x14ac:dyDescent="0.3">
      <c r="A4" s="2" t="s">
        <v>190</v>
      </c>
    </row>
    <row r="5" spans="1:1" x14ac:dyDescent="0.3">
      <c r="A5" s="2" t="s">
        <v>228</v>
      </c>
    </row>
    <row r="6" spans="1:1" x14ac:dyDescent="0.3">
      <c r="A6" s="2" t="s">
        <v>566</v>
      </c>
    </row>
    <row r="7" spans="1:1" x14ac:dyDescent="0.3">
      <c r="A7" s="2" t="s">
        <v>160</v>
      </c>
    </row>
    <row r="8" spans="1:1" x14ac:dyDescent="0.3">
      <c r="A8" s="2" t="s">
        <v>186</v>
      </c>
    </row>
    <row r="9" spans="1:1" x14ac:dyDescent="0.3">
      <c r="A9" s="2" t="s">
        <v>161</v>
      </c>
    </row>
    <row r="10" spans="1:1" x14ac:dyDescent="0.3">
      <c r="A10" s="2" t="s">
        <v>205</v>
      </c>
    </row>
    <row r="11" spans="1:1" x14ac:dyDescent="0.3">
      <c r="A11" s="2" t="s">
        <v>162</v>
      </c>
    </row>
    <row r="12" spans="1:1" x14ac:dyDescent="0.3">
      <c r="A12" s="2" t="s">
        <v>579</v>
      </c>
    </row>
    <row r="13" spans="1:1" x14ac:dyDescent="0.3">
      <c r="A13" s="2" t="s">
        <v>580</v>
      </c>
    </row>
    <row r="14" spans="1:1" x14ac:dyDescent="0.3">
      <c r="A14" s="2" t="s">
        <v>581</v>
      </c>
    </row>
    <row r="16" spans="1:1" x14ac:dyDescent="0.3">
      <c r="A16" s="2" t="s">
        <v>582</v>
      </c>
    </row>
    <row r="17" spans="1:1" x14ac:dyDescent="0.3">
      <c r="A17" s="2" t="s">
        <v>583</v>
      </c>
    </row>
    <row r="18" spans="1:1" x14ac:dyDescent="0.3">
      <c r="A18" s="2" t="s">
        <v>584</v>
      </c>
    </row>
    <row r="20" spans="1:1" x14ac:dyDescent="0.3">
      <c r="A20" s="2" t="s">
        <v>585</v>
      </c>
    </row>
    <row r="21" spans="1:1" x14ac:dyDescent="0.3">
      <c r="A21" s="2" t="s">
        <v>586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F37"/>
  <sheetViews>
    <sheetView workbookViewId="0">
      <selection activeCell="B13" sqref="B13"/>
    </sheetView>
  </sheetViews>
  <sheetFormatPr baseColWidth="10" defaultColWidth="11.44140625" defaultRowHeight="14.4" x14ac:dyDescent="0.3"/>
  <cols>
    <col min="2" max="2" width="24" customWidth="1"/>
    <col min="3" max="3" width="23.44140625" customWidth="1"/>
    <col min="4" max="4" width="24.33203125" customWidth="1"/>
    <col min="5" max="6" width="16.88671875" customWidth="1"/>
  </cols>
  <sheetData>
    <row r="2" spans="2:6" x14ac:dyDescent="0.3">
      <c r="B2" t="s">
        <v>583</v>
      </c>
      <c r="E2" t="s">
        <v>587</v>
      </c>
    </row>
    <row r="3" spans="2:6" x14ac:dyDescent="0.3">
      <c r="B3" t="s">
        <v>584</v>
      </c>
      <c r="E3" t="s">
        <v>588</v>
      </c>
    </row>
    <row r="4" spans="2:6" x14ac:dyDescent="0.3">
      <c r="B4" t="s">
        <v>589</v>
      </c>
      <c r="E4" t="s">
        <v>590</v>
      </c>
    </row>
    <row r="5" spans="2:6" x14ac:dyDescent="0.3">
      <c r="B5" t="s">
        <v>165</v>
      </c>
    </row>
    <row r="8" spans="2:6" x14ac:dyDescent="0.3">
      <c r="B8" t="s">
        <v>591</v>
      </c>
      <c r="E8" t="s">
        <v>126</v>
      </c>
      <c r="F8" t="s">
        <v>592</v>
      </c>
    </row>
    <row r="9" spans="2:6" x14ac:dyDescent="0.3">
      <c r="B9" t="s">
        <v>585</v>
      </c>
      <c r="E9" t="s">
        <v>294</v>
      </c>
      <c r="F9" t="s">
        <v>476</v>
      </c>
    </row>
    <row r="10" spans="2:6" x14ac:dyDescent="0.3">
      <c r="B10" t="s">
        <v>586</v>
      </c>
      <c r="E10" t="s">
        <v>366</v>
      </c>
      <c r="F10" t="s">
        <v>477</v>
      </c>
    </row>
    <row r="11" spans="2:6" x14ac:dyDescent="0.3">
      <c r="E11" t="s">
        <v>255</v>
      </c>
      <c r="F11" t="s">
        <v>15</v>
      </c>
    </row>
    <row r="12" spans="2:6" x14ac:dyDescent="0.3">
      <c r="B12" s="124" t="s">
        <v>593</v>
      </c>
      <c r="E12" t="s">
        <v>157</v>
      </c>
      <c r="F12" t="s">
        <v>274</v>
      </c>
    </row>
    <row r="13" spans="2:6" x14ac:dyDescent="0.3">
      <c r="B13" s="125" t="s">
        <v>156</v>
      </c>
      <c r="E13" t="s">
        <v>479</v>
      </c>
      <c r="F13" t="s">
        <v>417</v>
      </c>
    </row>
    <row r="14" spans="2:6" x14ac:dyDescent="0.3">
      <c r="B14" s="125" t="s">
        <v>203</v>
      </c>
    </row>
    <row r="15" spans="2:6" x14ac:dyDescent="0.3">
      <c r="B15" s="125" t="s">
        <v>594</v>
      </c>
    </row>
    <row r="16" spans="2:6" ht="26.4" x14ac:dyDescent="0.3">
      <c r="B16" s="125" t="s">
        <v>595</v>
      </c>
    </row>
    <row r="17" spans="2:2" ht="26.4" x14ac:dyDescent="0.3">
      <c r="B17" s="125" t="s">
        <v>596</v>
      </c>
    </row>
    <row r="18" spans="2:2" x14ac:dyDescent="0.3">
      <c r="B18" s="28"/>
    </row>
    <row r="19" spans="2:2" x14ac:dyDescent="0.3">
      <c r="B19" s="28"/>
    </row>
    <row r="20" spans="2:2" x14ac:dyDescent="0.3">
      <c r="B20" s="28"/>
    </row>
    <row r="21" spans="2:2" x14ac:dyDescent="0.3">
      <c r="B21" s="28"/>
    </row>
    <row r="22" spans="2:2" x14ac:dyDescent="0.3">
      <c r="B22" s="28"/>
    </row>
    <row r="23" spans="2:2" x14ac:dyDescent="0.3">
      <c r="B23" s="28"/>
    </row>
    <row r="24" spans="2:2" x14ac:dyDescent="0.3">
      <c r="B24" s="28" t="s">
        <v>597</v>
      </c>
    </row>
    <row r="25" spans="2:2" x14ac:dyDescent="0.3">
      <c r="B25" t="s">
        <v>598</v>
      </c>
    </row>
    <row r="26" spans="2:2" x14ac:dyDescent="0.3">
      <c r="B26" t="s">
        <v>27</v>
      </c>
    </row>
    <row r="27" spans="2:2" x14ac:dyDescent="0.3">
      <c r="B27" t="s">
        <v>599</v>
      </c>
    </row>
    <row r="28" spans="2:2" x14ac:dyDescent="0.3">
      <c r="B28" t="s">
        <v>600</v>
      </c>
    </row>
    <row r="29" spans="2:2" x14ac:dyDescent="0.3">
      <c r="B29" t="s">
        <v>601</v>
      </c>
    </row>
    <row r="30" spans="2:2" x14ac:dyDescent="0.3">
      <c r="B30" t="s">
        <v>602</v>
      </c>
    </row>
    <row r="31" spans="2:2" x14ac:dyDescent="0.3">
      <c r="B31" t="s">
        <v>603</v>
      </c>
    </row>
    <row r="32" spans="2:2" x14ac:dyDescent="0.3">
      <c r="B32" t="s">
        <v>604</v>
      </c>
    </row>
    <row r="33" spans="2:2" x14ac:dyDescent="0.3">
      <c r="B33" t="s">
        <v>605</v>
      </c>
    </row>
    <row r="34" spans="2:2" x14ac:dyDescent="0.3">
      <c r="B34" t="s">
        <v>606</v>
      </c>
    </row>
    <row r="35" spans="2:2" x14ac:dyDescent="0.3">
      <c r="B35" t="s">
        <v>607</v>
      </c>
    </row>
    <row r="36" spans="2:2" x14ac:dyDescent="0.3">
      <c r="B36" t="s">
        <v>608</v>
      </c>
    </row>
    <row r="37" spans="2:2" x14ac:dyDescent="0.3">
      <c r="B37" t="s">
        <v>609</v>
      </c>
    </row>
  </sheetData>
  <sortState xmlns:xlrd2="http://schemas.microsoft.com/office/spreadsheetml/2017/richdata2" ref="B2:B5">
    <sortCondition ref="B2:B5"/>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48c77cfc-f926-4e40-878b-a2b4daa011b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EE39E667A227D945A67792929EA683D0" ma:contentTypeVersion="15" ma:contentTypeDescription="Crear nuevo documento." ma:contentTypeScope="" ma:versionID="cefb609634d10a6eae862bb2086193c0">
  <xsd:schema xmlns:xsd="http://www.w3.org/2001/XMLSchema" xmlns:xs="http://www.w3.org/2001/XMLSchema" xmlns:p="http://schemas.microsoft.com/office/2006/metadata/properties" xmlns:ns2="48c77cfc-f926-4e40-878b-a2b4daa011b0" xmlns:ns3="cfb0170c-0804-4841-b063-354b1495d77f" targetNamespace="http://schemas.microsoft.com/office/2006/metadata/properties" ma:root="true" ma:fieldsID="bec324ed74b6367745968d6594cdad4f" ns2:_="" ns3:_="">
    <xsd:import namespace="48c77cfc-f926-4e40-878b-a2b4daa011b0"/>
    <xsd:import namespace="cfb0170c-0804-4841-b063-354b1495d7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c77cfc-f926-4e40-878b-a2b4daa011b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4b8207c3-623c-4b28-9fba-e01ec30e375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fb0170c-0804-4841-b063-354b1495d77f"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123410-02EF-47C8-90E7-237AD6FE833D}">
  <ds:schemaRefs>
    <ds:schemaRef ds:uri="http://schemas.microsoft.com/office/2006/metadata/properties"/>
    <ds:schemaRef ds:uri="http://schemas.microsoft.com/office/infopath/2007/PartnerControls"/>
    <ds:schemaRef ds:uri="48c77cfc-f926-4e40-878b-a2b4daa011b0"/>
  </ds:schemaRefs>
</ds:datastoreItem>
</file>

<file path=customXml/itemProps2.xml><?xml version="1.0" encoding="utf-8"?>
<ds:datastoreItem xmlns:ds="http://schemas.openxmlformats.org/officeDocument/2006/customXml" ds:itemID="{67C57599-A567-44F6-8FDC-341D43FEB7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c77cfc-f926-4e40-878b-a2b4daa011b0"/>
    <ds:schemaRef ds:uri="cfb0170c-0804-4841-b063-354b1495d7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491C16B-7D77-4F2F-B642-D62F309AC8A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4. PEFIL RIESGO DEL PROCESO</vt:lpstr>
      <vt:lpstr>1. ESTABLECIMIENTO CONTEXTO </vt:lpstr>
      <vt:lpstr>2. MATRIZ DE RIESGOS</vt:lpstr>
      <vt:lpstr>MAPA CALOR INHERENTE</vt:lpstr>
      <vt:lpstr>MAPA CALOR RESIDUAL</vt:lpstr>
      <vt:lpstr>3.MAPA CALOR INHEREN Y RESIDUAL</vt:lpstr>
      <vt:lpstr>Tabla probabilidad</vt:lpstr>
      <vt:lpstr>Tabla Impacto</vt:lpstr>
      <vt:lpstr>Tabla Valoración controles</vt:lpstr>
      <vt:lpstr>Hoja1</vt:lpstr>
      <vt:lpstr>Opciones Tratamiento</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Myrian Cubillos Benavides</dc:creator>
  <cp:keywords/>
  <dc:description/>
  <cp:lastModifiedBy>Carlos Alberto Benitez Aguirre</cp:lastModifiedBy>
  <cp:revision/>
  <dcterms:created xsi:type="dcterms:W3CDTF">2020-03-24T23:12:47Z</dcterms:created>
  <dcterms:modified xsi:type="dcterms:W3CDTF">2026-07-29T16:19:08Z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0x010100EE39E667A227D945A67792929EA683D0</vt:lpwstr>
  </property>
  <property fmtid="{D5CDD505-2E9C-101B-9397-08002B2CF9AE}" pid="3" name="MediaServiceImageTags">
    <vt:lpwstr/>
  </property>
</Properties>
</file>