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autoCompressPictures="0"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0" documentId="8_{9F0899D4-C1C3-4E03-AE4C-3A7C7FD7FA33}" xr6:coauthVersionLast="47" xr6:coauthVersionMax="47" xr10:uidLastSave="{00000000-0000-0000-0000-000000000000}"/>
  <bookViews>
    <workbookView xWindow="-108" yWindow="-108" windowWidth="23256" windowHeight="12456" tabRatio="883" activeTab="1" xr2:uid="{00000000-000D-0000-FFFF-FFFF00000000}"/>
  </bookViews>
  <sheets>
    <sheet name="1. ESTABLECIMIENTO CONTEXTO " sheetId="23" r:id="rId1"/>
    <sheet name="2. MATRIZ DE RIESGOS" sheetId="29" r:id="rId2"/>
    <sheet name="MAPA CALOR INHERENTE" sheetId="25" state="hidden" r:id="rId3"/>
    <sheet name="MAPA CALOR RESIDUAL" sheetId="26" state="hidden" r:id="rId4"/>
    <sheet name="3.MAPA CALOR INHEREN Y RESIDUAL" sheetId="27" r:id="rId5"/>
    <sheet name="4. PEFIL RIESGO DEL PROCESO" sheetId="28" r:id="rId6"/>
    <sheet name="Tabla probabilidad" sheetId="12" r:id="rId7"/>
    <sheet name="Tabla Impacto" sheetId="22" r:id="rId8"/>
    <sheet name="Tabla Valoración controles" sheetId="15" r:id="rId9"/>
    <sheet name="Opciones Tratamiento" sheetId="16" r:id="rId10"/>
    <sheet name="Hoja1" sheetId="11" state="hidden" r:id="rId11"/>
  </sheets>
  <externalReferences>
    <externalReference r:id="rId12"/>
  </externalReferences>
  <definedNames>
    <definedName name="_xlnm._FilterDatabase" localSheetId="4" hidden="1">'3.MAPA CALOR INHEREN Y RESIDUAL'!$A$7:$AL$7</definedName>
    <definedName name="_xlnm._FilterDatabase" localSheetId="2" hidden="1">'MAPA CALOR INHERENTE'!$A$6:$AJ$6</definedName>
    <definedName name="_xlnm._FilterDatabase" localSheetId="3" hidden="1">'MAPA CALOR RESIDUAL'!$A$6:$AL$6</definedName>
    <definedName name="Afectación_Económica" localSheetId="5">#REF!</definedName>
    <definedName name="Afectación_Económica">#REF!</definedName>
    <definedName name="Definicion_tratamiento" localSheetId="5">#REF!</definedName>
    <definedName name="Definicion_tratamiento">#REF!</definedName>
    <definedName name="Ejecución_administración_de_procesos">#REF!</definedName>
    <definedName name="Fiscal_A" localSheetId="5">#REF!</definedName>
    <definedName name="Fiscal_A">#REF!</definedName>
    <definedName name="Fiscal_B" localSheetId="5">#REF!</definedName>
    <definedName name="Fiscal_B">#REF!</definedName>
    <definedName name="Gestiòn" localSheetId="5">#REF!</definedName>
    <definedName name="Gestiòn">#REF!</definedName>
    <definedName name="Gestión_A" localSheetId="5">#REF!</definedName>
    <definedName name="Gestión_A">#REF!</definedName>
    <definedName name="Gestión_B" localSheetId="5">#REF!</definedName>
    <definedName name="Gestión_B">#REF!</definedName>
    <definedName name="IMPACTO_PROCESOS" localSheetId="4">#REF!</definedName>
    <definedName name="IMPACTO_PROCESOS" localSheetId="5">#REF!</definedName>
    <definedName name="IMPACTO_PROCESOS" localSheetId="2">#REF!</definedName>
    <definedName name="IMPACTO_PROCESOS" localSheetId="3">#REF!</definedName>
    <definedName name="IntegridadPública_Corrupción" localSheetId="5">#REF!</definedName>
    <definedName name="IntegridadPública_Corrupción">#REF!</definedName>
    <definedName name="IntegridadPública_LA_FT_FP" localSheetId="5">#REF!</definedName>
    <definedName name="IntegridadPública_LA_FT_FP">#REF!</definedName>
    <definedName name="opciones" localSheetId="4">#REF!</definedName>
    <definedName name="opciones" localSheetId="5">#REF!</definedName>
    <definedName name="opciones" localSheetId="2">#REF!</definedName>
    <definedName name="opciones" localSheetId="3">#REF!</definedName>
    <definedName name="opciones2" localSheetId="4">#REF!</definedName>
    <definedName name="opciones2" localSheetId="5">#REF!</definedName>
    <definedName name="opciones2" localSheetId="2">#REF!</definedName>
    <definedName name="opciones2" localSheetId="3">#REF!</definedName>
    <definedName name="Plan_accion" localSheetId="5">#REF!</definedName>
    <definedName name="Plan_accion">#REF!</definedName>
    <definedName name="Plan_acción" localSheetId="5">#REF!</definedName>
    <definedName name="Plan_acción">#REF!</definedName>
    <definedName name="Plan_de_acción" localSheetId="5">#REF!</definedName>
    <definedName name="Plan_de_acción">#REF!</definedName>
    <definedName name="Posibilidad__de_efecto_dañoso_sobre_el_interes_patrimonial" localSheetId="5">#REF!</definedName>
    <definedName name="Posibilidad__de_efecto_dañoso_sobre_el_interes_patrimonial">#REF!</definedName>
    <definedName name="Posibilidad_de_pérdida_Económica" localSheetId="5">#REF!</definedName>
    <definedName name="Posibilidad_de_pérdida_Económica">#REF!</definedName>
    <definedName name="Proceso">#REF!</definedName>
    <definedName name="Quince_Cero" localSheetId="4">#REF!</definedName>
    <definedName name="Quince_Cero" localSheetId="5">#REF!</definedName>
    <definedName name="Quince_Cero" localSheetId="2">#REF!</definedName>
    <definedName name="Quince_Cero" localSheetId="3">#REF!</definedName>
    <definedName name="Rango_Calificacion_Ejecucion" localSheetId="4">#REF!</definedName>
    <definedName name="Rango_Calificacion_Ejecucion" localSheetId="5">#REF!</definedName>
    <definedName name="Rango_Calificacion_Ejecucion" localSheetId="2">#REF!</definedName>
    <definedName name="Rango_Calificacion_Ejecucion" localSheetId="3">#REF!</definedName>
    <definedName name="Reducir_mitigar_Transferir_Evitar" localSheetId="5">#REF!</definedName>
    <definedName name="Reducir_mitigar_Transferir_Evitar">#REF!</definedName>
    <definedName name="Reputacional" localSheetId="5">#REF!</definedName>
    <definedName name="Reputacional">#REF!</definedName>
    <definedName name="Requiere_Plan_de_Acción" localSheetId="5">#REF!</definedName>
    <definedName name="Requiere_Plan_de_Acción">#REF!</definedName>
    <definedName name="Seg.Información" localSheetId="5">#REF!</definedName>
    <definedName name="Seg.Información">#REF!</definedName>
    <definedName name="TIPO" localSheetId="4">#REF!</definedName>
    <definedName name="TIPO" localSheetId="5">#REF!</definedName>
    <definedName name="TIPO" localSheetId="2">#REF!</definedName>
    <definedName name="TIPO" localSheetId="3">#REF!</definedName>
  </definedNames>
  <calcPr calcId="191028"/>
  <pivotCaches>
    <pivotCache cacheId="0"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09" i="29" l="1"/>
  <c r="Q109" i="29"/>
  <c r="T108" i="29"/>
  <c r="Q108" i="29"/>
  <c r="AA107" i="29"/>
  <c r="Y107" i="29"/>
  <c r="T107" i="29"/>
  <c r="Q107" i="29"/>
  <c r="N107" i="29"/>
  <c r="M107" i="29"/>
  <c r="K107" i="29"/>
  <c r="T105" i="29"/>
  <c r="Y105" i="29" s="1"/>
  <c r="Q105" i="29"/>
  <c r="N105" i="29"/>
  <c r="M105" i="29"/>
  <c r="AC105" i="29" s="1"/>
  <c r="K105" i="29"/>
  <c r="T104" i="29"/>
  <c r="Q104" i="29"/>
  <c r="T103" i="29"/>
  <c r="Q103" i="29"/>
  <c r="N103" i="29"/>
  <c r="M103" i="29"/>
  <c r="K103" i="29"/>
  <c r="T102" i="29"/>
  <c r="Q102" i="29"/>
  <c r="T101" i="29"/>
  <c r="Q101" i="29"/>
  <c r="Y102" i="29" s="1"/>
  <c r="T100" i="29"/>
  <c r="Q100" i="29"/>
  <c r="N100" i="29"/>
  <c r="M100" i="29"/>
  <c r="AC100" i="29" s="1"/>
  <c r="K100" i="29"/>
  <c r="T99" i="29"/>
  <c r="Q99" i="29"/>
  <c r="T98" i="29"/>
  <c r="Q98" i="29"/>
  <c r="T97" i="29"/>
  <c r="Y97" i="29" s="1"/>
  <c r="Q97" i="29"/>
  <c r="N97" i="29"/>
  <c r="M97" i="29"/>
  <c r="AC97" i="29" s="1"/>
  <c r="K97" i="29"/>
  <c r="T96" i="29"/>
  <c r="Q96" i="29"/>
  <c r="T95" i="29"/>
  <c r="Q95" i="29"/>
  <c r="T94" i="29"/>
  <c r="Q94" i="29"/>
  <c r="N94" i="29"/>
  <c r="M94" i="29"/>
  <c r="K94" i="29"/>
  <c r="T93" i="29"/>
  <c r="Q93" i="29"/>
  <c r="AC92" i="29"/>
  <c r="T92" i="29"/>
  <c r="Q92" i="29"/>
  <c r="N92" i="29"/>
  <c r="M92" i="29"/>
  <c r="K92" i="29"/>
  <c r="Y92" i="29" s="1"/>
  <c r="T91" i="29"/>
  <c r="Q91" i="29"/>
  <c r="Z90" i="29"/>
  <c r="Y90" i="29"/>
  <c r="AA90" i="29" s="1"/>
  <c r="T90" i="29"/>
  <c r="Q90" i="29"/>
  <c r="N90" i="29"/>
  <c r="M90" i="29"/>
  <c r="K90" i="29"/>
  <c r="T89" i="29"/>
  <c r="Q89" i="29"/>
  <c r="T88" i="29"/>
  <c r="Q88" i="29"/>
  <c r="AC89" i="29" s="1"/>
  <c r="AB89" i="29" s="1"/>
  <c r="T87" i="29"/>
  <c r="Q87" i="29"/>
  <c r="T86" i="29"/>
  <c r="Q86" i="29"/>
  <c r="T85" i="29"/>
  <c r="Q85" i="29"/>
  <c r="AC84" i="29"/>
  <c r="AA84" i="29"/>
  <c r="T84" i="29"/>
  <c r="Q84" i="29"/>
  <c r="N84" i="29"/>
  <c r="M84" i="29"/>
  <c r="K84" i="29"/>
  <c r="Y84" i="29" s="1"/>
  <c r="AC83" i="29"/>
  <c r="AB83" i="29" s="1"/>
  <c r="T83" i="29"/>
  <c r="Q83" i="29"/>
  <c r="T82" i="29"/>
  <c r="Q82" i="29"/>
  <c r="Y83" i="29" s="1"/>
  <c r="AA83" i="29" s="1"/>
  <c r="T81" i="29"/>
  <c r="Q81" i="29"/>
  <c r="T80" i="29"/>
  <c r="Q80" i="29"/>
  <c r="T79" i="29"/>
  <c r="Q79" i="29"/>
  <c r="N79" i="29"/>
  <c r="M79" i="29"/>
  <c r="K79" i="29"/>
  <c r="Y78" i="29"/>
  <c r="AA78" i="29" s="1"/>
  <c r="T78" i="29"/>
  <c r="Q78" i="29"/>
  <c r="T77" i="29"/>
  <c r="Q77" i="29"/>
  <c r="AC78" i="29" s="1"/>
  <c r="AB78" i="29" s="1"/>
  <c r="Y76" i="29"/>
  <c r="Y77" i="29" s="1"/>
  <c r="T76" i="29"/>
  <c r="Q76" i="29"/>
  <c r="AC76" i="29" s="1"/>
  <c r="N76" i="29"/>
  <c r="M76" i="29"/>
  <c r="K76" i="29"/>
  <c r="T74" i="29"/>
  <c r="Q74" i="29"/>
  <c r="T73" i="29"/>
  <c r="Q73" i="29"/>
  <c r="AC73" i="29" s="1"/>
  <c r="N73" i="29"/>
  <c r="M73" i="29"/>
  <c r="K73" i="29"/>
  <c r="T72" i="29"/>
  <c r="Q72" i="29"/>
  <c r="T71" i="29"/>
  <c r="Q71" i="29"/>
  <c r="T70" i="29"/>
  <c r="Q70" i="29"/>
  <c r="T69" i="29"/>
  <c r="Q69" i="29"/>
  <c r="T68" i="29"/>
  <c r="Q68" i="29"/>
  <c r="T67" i="29"/>
  <c r="Q67" i="29"/>
  <c r="N67" i="29"/>
  <c r="M67" i="29"/>
  <c r="K67" i="29"/>
  <c r="T66" i="29"/>
  <c r="Q66" i="29"/>
  <c r="T65" i="29"/>
  <c r="Q65" i="29"/>
  <c r="Y64" i="29"/>
  <c r="T64" i="29"/>
  <c r="Q64" i="29"/>
  <c r="N64" i="29"/>
  <c r="M64" i="29"/>
  <c r="AC64" i="29" s="1"/>
  <c r="K64" i="29"/>
  <c r="T63" i="29"/>
  <c r="Q63" i="29"/>
  <c r="T62" i="29"/>
  <c r="Q62" i="29"/>
  <c r="Y61" i="29"/>
  <c r="AA61" i="29" s="1"/>
  <c r="Y62" i="29" s="1"/>
  <c r="T61" i="29"/>
  <c r="Q61" i="29"/>
  <c r="T60" i="29"/>
  <c r="Q60" i="29"/>
  <c r="N60" i="29"/>
  <c r="M60" i="29"/>
  <c r="AC60" i="29" s="1"/>
  <c r="K60" i="29"/>
  <c r="Y60" i="29" s="1"/>
  <c r="T59" i="29"/>
  <c r="Q59" i="29"/>
  <c r="T58" i="29"/>
  <c r="Q58" i="29"/>
  <c r="T57" i="29"/>
  <c r="Q57" i="29"/>
  <c r="Y56" i="29"/>
  <c r="T56" i="29"/>
  <c r="Q56" i="29"/>
  <c r="N56" i="29"/>
  <c r="M56" i="29"/>
  <c r="AC56" i="29" s="1"/>
  <c r="K56" i="29"/>
  <c r="T55" i="29"/>
  <c r="Q55" i="29"/>
  <c r="T54" i="29"/>
  <c r="Q54" i="29"/>
  <c r="T53" i="29"/>
  <c r="Q53" i="29"/>
  <c r="T52" i="29"/>
  <c r="Q52" i="29"/>
  <c r="T51" i="29"/>
  <c r="Q51" i="29"/>
  <c r="T50" i="29"/>
  <c r="Q50" i="29"/>
  <c r="N50" i="29"/>
  <c r="M50" i="29"/>
  <c r="K50" i="29"/>
  <c r="T49" i="29"/>
  <c r="Q49" i="29"/>
  <c r="T48" i="29"/>
  <c r="Q48" i="29"/>
  <c r="T47" i="29"/>
  <c r="Q47" i="29"/>
  <c r="T46" i="29"/>
  <c r="Q46" i="29"/>
  <c r="T45" i="29"/>
  <c r="Q45" i="29"/>
  <c r="Y44" i="29"/>
  <c r="T44" i="29"/>
  <c r="Q44" i="29"/>
  <c r="N44" i="29"/>
  <c r="M44" i="29"/>
  <c r="AC44" i="29" s="1"/>
  <c r="K44" i="29"/>
  <c r="T43" i="29"/>
  <c r="Q43" i="29"/>
  <c r="T42" i="29"/>
  <c r="Q42" i="29"/>
  <c r="T41" i="29"/>
  <c r="Q41" i="29"/>
  <c r="T40" i="29"/>
  <c r="Q40" i="29"/>
  <c r="T39" i="29"/>
  <c r="Q39" i="29"/>
  <c r="T38" i="29"/>
  <c r="Q38" i="29"/>
  <c r="T37" i="29"/>
  <c r="Q37" i="29"/>
  <c r="T36" i="29"/>
  <c r="Q36" i="29"/>
  <c r="T35" i="29"/>
  <c r="Q35" i="29"/>
  <c r="N35" i="29"/>
  <c r="M35" i="29"/>
  <c r="AC35" i="29" s="1"/>
  <c r="K35" i="29"/>
  <c r="Y35" i="29" s="1"/>
  <c r="AA35" i="29" s="1"/>
  <c r="T34" i="29"/>
  <c r="Q34" i="29"/>
  <c r="AA33" i="29"/>
  <c r="Z33" i="29"/>
  <c r="Y33" i="29"/>
  <c r="T33" i="29"/>
  <c r="Q33" i="29"/>
  <c r="N33" i="29"/>
  <c r="M33" i="29"/>
  <c r="K33" i="29"/>
  <c r="T32" i="29"/>
  <c r="Q32" i="29"/>
  <c r="T31" i="29"/>
  <c r="Q31" i="29"/>
  <c r="T30" i="29"/>
  <c r="Y30" i="29" s="1"/>
  <c r="Q30" i="29"/>
  <c r="N30" i="29"/>
  <c r="M30" i="29"/>
  <c r="K30" i="29"/>
  <c r="T29" i="29"/>
  <c r="Q29" i="29"/>
  <c r="T28" i="29"/>
  <c r="Q28" i="29"/>
  <c r="T27" i="29"/>
  <c r="Q27" i="29"/>
  <c r="AC26" i="29"/>
  <c r="AB26" i="29" s="1"/>
  <c r="T26" i="29"/>
  <c r="Q26" i="29"/>
  <c r="N26" i="29"/>
  <c r="M26" i="29"/>
  <c r="K26" i="29"/>
  <c r="T25" i="29"/>
  <c r="Q25" i="29"/>
  <c r="T24" i="29"/>
  <c r="Q24" i="29"/>
  <c r="T23" i="29"/>
  <c r="Q23" i="29"/>
  <c r="T22" i="29"/>
  <c r="Q22" i="29"/>
  <c r="Y21" i="29"/>
  <c r="AA21" i="29" s="1"/>
  <c r="Y22" i="29" s="1"/>
  <c r="T21" i="29"/>
  <c r="Q21" i="29"/>
  <c r="Y20" i="29"/>
  <c r="T20" i="29"/>
  <c r="Q20" i="29"/>
  <c r="AC20" i="29" s="1"/>
  <c r="N20" i="29"/>
  <c r="M20" i="29"/>
  <c r="K20" i="29"/>
  <c r="T19" i="29"/>
  <c r="Q19" i="29"/>
  <c r="T18" i="29"/>
  <c r="Q18" i="29"/>
  <c r="T17" i="29"/>
  <c r="Q17" i="29"/>
  <c r="N17" i="29"/>
  <c r="M17" i="29"/>
  <c r="K17" i="29"/>
  <c r="Y17" i="29" s="1"/>
  <c r="T16" i="29"/>
  <c r="Q16" i="29"/>
  <c r="T15" i="29"/>
  <c r="Q15" i="29"/>
  <c r="Y15" i="29" s="1"/>
  <c r="N15" i="29"/>
  <c r="M15" i="29"/>
  <c r="K15" i="29"/>
  <c r="AA77" i="29" l="1"/>
  <c r="Z77" i="29"/>
  <c r="AB100" i="29"/>
  <c r="AB105" i="29"/>
  <c r="AG105" i="29"/>
  <c r="AF105" i="29" s="1"/>
  <c r="AG60" i="29"/>
  <c r="AF60" i="29" s="1"/>
  <c r="AC61" i="29"/>
  <c r="AB61" i="29" s="1"/>
  <c r="AB60" i="29"/>
  <c r="AA15" i="29"/>
  <c r="Z15" i="29"/>
  <c r="AB20" i="29"/>
  <c r="Z30" i="29"/>
  <c r="AA30" i="29"/>
  <c r="AA97" i="29"/>
  <c r="Y98" i="29" s="1"/>
  <c r="Z97" i="29"/>
  <c r="AB97" i="29"/>
  <c r="AC98" i="29"/>
  <c r="AB98" i="29" s="1"/>
  <c r="AB56" i="29"/>
  <c r="AC57" i="29"/>
  <c r="AG56" i="29"/>
  <c r="AF56" i="29" s="1"/>
  <c r="AB64" i="29"/>
  <c r="AE105" i="29"/>
  <c r="AD105" i="29" s="1"/>
  <c r="AH105" i="29" s="1"/>
  <c r="AA105" i="29"/>
  <c r="Z105" i="29"/>
  <c r="AB35" i="29"/>
  <c r="AC45" i="29"/>
  <c r="AB45" i="29" s="1"/>
  <c r="AB44" i="29"/>
  <c r="AA102" i="29"/>
  <c r="Z102" i="29"/>
  <c r="Z62" i="29"/>
  <c r="AA62" i="29"/>
  <c r="AC99" i="29"/>
  <c r="AB99" i="29" s="1"/>
  <c r="AA17" i="29"/>
  <c r="Z17" i="29"/>
  <c r="Z22" i="29"/>
  <c r="AA22" i="29"/>
  <c r="AA60" i="29"/>
  <c r="Z60" i="29"/>
  <c r="AE60" i="29"/>
  <c r="AD60" i="29" s="1"/>
  <c r="AH60" i="29" s="1"/>
  <c r="AB73" i="29"/>
  <c r="AC36" i="29"/>
  <c r="AB36" i="29" s="1"/>
  <c r="Z21" i="29"/>
  <c r="AA44" i="29"/>
  <c r="Y45" i="29" s="1"/>
  <c r="Z44" i="29"/>
  <c r="Z76" i="29"/>
  <c r="Z84" i="29"/>
  <c r="Z92" i="29"/>
  <c r="Y94" i="29"/>
  <c r="Y89" i="29"/>
  <c r="AC63" i="29"/>
  <c r="AB63" i="29" s="1"/>
  <c r="AC65" i="29"/>
  <c r="AB65" i="29" s="1"/>
  <c r="Y67" i="29"/>
  <c r="AC74" i="29"/>
  <c r="AB74" i="29" s="1"/>
  <c r="AA76" i="29"/>
  <c r="AC85" i="29"/>
  <c r="AB85" i="29" s="1"/>
  <c r="AC86" i="29"/>
  <c r="AB86" i="29" s="1"/>
  <c r="AC93" i="29"/>
  <c r="AB93" i="29" s="1"/>
  <c r="AC66" i="29"/>
  <c r="AB66" i="29" s="1"/>
  <c r="AC79" i="29"/>
  <c r="AC80" i="29"/>
  <c r="AB80" i="29" s="1"/>
  <c r="Y79" i="29"/>
  <c r="AG92" i="29"/>
  <c r="AF92" i="29" s="1"/>
  <c r="Y36" i="29"/>
  <c r="AC51" i="29"/>
  <c r="AB51" i="29" s="1"/>
  <c r="Y50" i="29"/>
  <c r="AC50" i="29"/>
  <c r="Y16" i="29"/>
  <c r="AC19" i="29"/>
  <c r="AB19" i="29" s="1"/>
  <c r="AC21" i="29"/>
  <c r="AB21" i="29" s="1"/>
  <c r="Y34" i="29"/>
  <c r="Z61" i="29"/>
  <c r="AE76" i="29"/>
  <c r="Z78" i="29"/>
  <c r="Y104" i="29"/>
  <c r="AC103" i="29"/>
  <c r="AC104" i="29"/>
  <c r="AB104" i="29" s="1"/>
  <c r="Y103" i="29"/>
  <c r="AC109" i="29"/>
  <c r="AB109" i="29" s="1"/>
  <c r="Y109" i="29"/>
  <c r="Y18" i="29"/>
  <c r="AC15" i="29"/>
  <c r="Y23" i="29"/>
  <c r="AE56" i="29"/>
  <c r="AD56" i="29" s="1"/>
  <c r="AH56" i="29" s="1"/>
  <c r="AA56" i="29"/>
  <c r="Y57" i="29" s="1"/>
  <c r="AA64" i="29"/>
  <c r="Y65" i="29" s="1"/>
  <c r="Y85" i="29"/>
  <c r="AC94" i="29"/>
  <c r="AC95" i="29" s="1"/>
  <c r="Y108" i="29"/>
  <c r="AA20" i="29"/>
  <c r="Z20" i="29"/>
  <c r="AC27" i="29"/>
  <c r="AB27" i="29" s="1"/>
  <c r="Y26" i="29"/>
  <c r="AC28" i="29"/>
  <c r="AB28" i="29" s="1"/>
  <c r="AE33" i="29"/>
  <c r="AD33" i="29" s="1"/>
  <c r="Z56" i="29"/>
  <c r="Y63" i="29"/>
  <c r="Z64" i="29"/>
  <c r="AC67" i="29"/>
  <c r="Y91" i="29"/>
  <c r="AC108" i="29"/>
  <c r="AB108" i="29" s="1"/>
  <c r="Y73" i="29"/>
  <c r="AC77" i="29"/>
  <c r="AB77" i="29" s="1"/>
  <c r="AB76" i="29"/>
  <c r="AA92" i="29"/>
  <c r="Y93" i="29" s="1"/>
  <c r="Y100" i="29"/>
  <c r="AE107" i="29"/>
  <c r="AD107" i="29" s="1"/>
  <c r="AC37" i="29"/>
  <c r="AB37" i="29" s="1"/>
  <c r="AC62" i="29"/>
  <c r="AB62" i="29" s="1"/>
  <c r="AC23" i="29"/>
  <c r="AB23" i="29" s="1"/>
  <c r="Y31" i="29"/>
  <c r="AC30" i="29"/>
  <c r="AC31" i="29"/>
  <c r="AB31" i="29" s="1"/>
  <c r="Z35" i="29"/>
  <c r="AC59" i="29"/>
  <c r="AB59" i="29" s="1"/>
  <c r="AC81" i="29"/>
  <c r="Z83" i="29"/>
  <c r="AB84" i="29"/>
  <c r="AE90" i="29"/>
  <c r="AD90" i="29" s="1"/>
  <c r="AB92" i="29"/>
  <c r="AC101" i="29"/>
  <c r="AB101" i="29" s="1"/>
  <c r="AC102" i="29"/>
  <c r="AB102" i="29" s="1"/>
  <c r="Z107" i="29"/>
  <c r="AC39" i="29"/>
  <c r="AC17" i="29"/>
  <c r="AC22" i="29"/>
  <c r="AB22" i="29" s="1"/>
  <c r="AC33" i="29"/>
  <c r="AC38" i="29"/>
  <c r="AB38" i="29" s="1"/>
  <c r="AC46" i="29"/>
  <c r="AB46" i="29" s="1"/>
  <c r="AC90" i="29"/>
  <c r="AC107" i="29"/>
  <c r="F30" i="26"/>
  <c r="D31" i="26"/>
  <c r="F31" i="26" s="1"/>
  <c r="B31" i="26"/>
  <c r="A31" i="26"/>
  <c r="B30" i="26"/>
  <c r="D30" i="26"/>
  <c r="A30" i="26"/>
  <c r="D29" i="26"/>
  <c r="F29" i="26" s="1"/>
  <c r="C29" i="26"/>
  <c r="E29" i="26" s="1"/>
  <c r="B29" i="26"/>
  <c r="A29" i="26"/>
  <c r="B28" i="26"/>
  <c r="A28" i="26"/>
  <c r="B27" i="26"/>
  <c r="A27" i="26"/>
  <c r="B26" i="26"/>
  <c r="A26" i="26"/>
  <c r="B25" i="26"/>
  <c r="A25" i="26"/>
  <c r="B24" i="26"/>
  <c r="A24" i="26"/>
  <c r="B23" i="26"/>
  <c r="A23" i="26"/>
  <c r="B22" i="26"/>
  <c r="A22" i="26"/>
  <c r="B21" i="26"/>
  <c r="A21" i="26"/>
  <c r="B20" i="26"/>
  <c r="A20" i="26"/>
  <c r="B19" i="26"/>
  <c r="A19" i="26"/>
  <c r="B18" i="26"/>
  <c r="A18" i="26"/>
  <c r="B17" i="26"/>
  <c r="A17" i="26"/>
  <c r="B16" i="26"/>
  <c r="A16" i="26"/>
  <c r="B15" i="26"/>
  <c r="A15" i="26"/>
  <c r="B14" i="26"/>
  <c r="A14" i="26"/>
  <c r="B13" i="26"/>
  <c r="A13" i="26"/>
  <c r="B12" i="26"/>
  <c r="A12" i="26"/>
  <c r="B11" i="26"/>
  <c r="A11" i="26"/>
  <c r="B10" i="26"/>
  <c r="A10" i="26"/>
  <c r="B9" i="26"/>
  <c r="A9" i="26"/>
  <c r="B8" i="26"/>
  <c r="A8" i="26"/>
  <c r="D31" i="25"/>
  <c r="C31" i="25"/>
  <c r="B31" i="25"/>
  <c r="A31" i="25"/>
  <c r="D30" i="25"/>
  <c r="C30" i="25"/>
  <c r="B30" i="25"/>
  <c r="A30" i="25"/>
  <c r="D29" i="25"/>
  <c r="C29" i="25"/>
  <c r="B29" i="25"/>
  <c r="A29" i="25"/>
  <c r="D28" i="25"/>
  <c r="C28" i="25"/>
  <c r="B28" i="25"/>
  <c r="A28" i="25"/>
  <c r="D27" i="25"/>
  <c r="C27" i="25"/>
  <c r="B27" i="25"/>
  <c r="A27" i="25"/>
  <c r="D26" i="25"/>
  <c r="C26" i="25"/>
  <c r="B26" i="25"/>
  <c r="A26" i="25"/>
  <c r="D25" i="25"/>
  <c r="C25" i="25"/>
  <c r="E25" i="25" s="1"/>
  <c r="B25" i="25"/>
  <c r="A25" i="25"/>
  <c r="D24" i="25"/>
  <c r="C24" i="25"/>
  <c r="B24" i="25"/>
  <c r="A24" i="25"/>
  <c r="D23" i="25"/>
  <c r="C23" i="25"/>
  <c r="B23" i="25"/>
  <c r="A23" i="25"/>
  <c r="C22" i="25"/>
  <c r="E22" i="25" s="1"/>
  <c r="B22" i="25"/>
  <c r="A22" i="25"/>
  <c r="D22" i="25"/>
  <c r="D21" i="25"/>
  <c r="C21" i="25"/>
  <c r="B21" i="25"/>
  <c r="A21" i="25"/>
  <c r="D20" i="25"/>
  <c r="C20" i="25"/>
  <c r="B20" i="25"/>
  <c r="A20" i="25"/>
  <c r="D19" i="25"/>
  <c r="C19" i="25"/>
  <c r="E19" i="25" s="1"/>
  <c r="B19" i="25"/>
  <c r="A19" i="25"/>
  <c r="D18" i="25"/>
  <c r="C18" i="25"/>
  <c r="B18" i="25"/>
  <c r="A18" i="25"/>
  <c r="D17" i="25"/>
  <c r="C17" i="25"/>
  <c r="B17" i="25"/>
  <c r="A17" i="25"/>
  <c r="D16" i="25"/>
  <c r="C16" i="25"/>
  <c r="B16" i="25"/>
  <c r="A16" i="25"/>
  <c r="D15" i="25"/>
  <c r="C15" i="25"/>
  <c r="B15" i="25"/>
  <c r="A15" i="25"/>
  <c r="D14" i="25"/>
  <c r="C14" i="25"/>
  <c r="B14" i="25"/>
  <c r="A14" i="25"/>
  <c r="D13" i="25"/>
  <c r="C13" i="25"/>
  <c r="B13" i="25"/>
  <c r="A13" i="25"/>
  <c r="D12" i="25"/>
  <c r="C12" i="25"/>
  <c r="B12" i="25"/>
  <c r="A12" i="25"/>
  <c r="D11" i="25"/>
  <c r="C11" i="25"/>
  <c r="B11" i="25"/>
  <c r="A11" i="25"/>
  <c r="E14" i="25"/>
  <c r="D10" i="25"/>
  <c r="C10" i="25"/>
  <c r="B10" i="25"/>
  <c r="A10" i="25"/>
  <c r="D9" i="25"/>
  <c r="C9" i="25"/>
  <c r="E9" i="25" s="1"/>
  <c r="A9" i="25"/>
  <c r="B9" i="25"/>
  <c r="D8" i="25"/>
  <c r="C8" i="25"/>
  <c r="B8" i="25"/>
  <c r="A8" i="25"/>
  <c r="B4" i="28"/>
  <c r="B3" i="27"/>
  <c r="B7" i="26"/>
  <c r="A7" i="26"/>
  <c r="B3" i="26"/>
  <c r="D7" i="25"/>
  <c r="C7" i="25"/>
  <c r="B7" i="25"/>
  <c r="A7" i="25"/>
  <c r="B3" i="25"/>
  <c r="E23" i="25" l="1"/>
  <c r="E30" i="25"/>
  <c r="E11" i="25"/>
  <c r="E13" i="25"/>
  <c r="E15" i="25"/>
  <c r="E17" i="25"/>
  <c r="E21" i="25"/>
  <c r="AB95" i="29"/>
  <c r="AC96" i="29"/>
  <c r="AB96" i="29" s="1"/>
  <c r="Z65" i="29"/>
  <c r="AA65" i="29"/>
  <c r="Y66" i="29" s="1"/>
  <c r="AE64" i="29" s="1"/>
  <c r="AA93" i="29"/>
  <c r="Z93" i="29"/>
  <c r="AE92" i="29"/>
  <c r="AD92" i="29" s="1"/>
  <c r="AH92" i="29" s="1"/>
  <c r="AC40" i="29"/>
  <c r="AB39" i="29"/>
  <c r="AA104" i="29"/>
  <c r="Z104" i="29"/>
  <c r="Z16" i="29"/>
  <c r="AA16" i="29"/>
  <c r="AG64" i="29"/>
  <c r="AF64" i="29" s="1"/>
  <c r="AB33" i="29"/>
  <c r="AC34" i="29"/>
  <c r="AB34" i="29" s="1"/>
  <c r="AG76" i="29"/>
  <c r="AF76" i="29" s="1"/>
  <c r="AA63" i="29"/>
  <c r="Z63" i="29"/>
  <c r="AA57" i="29"/>
  <c r="Y58" i="29" s="1"/>
  <c r="Z57" i="29"/>
  <c r="AB50" i="29"/>
  <c r="AB79" i="29"/>
  <c r="AA45" i="29"/>
  <c r="Y46" i="29" s="1"/>
  <c r="Z45" i="29"/>
  <c r="Z79" i="29"/>
  <c r="AA79" i="29"/>
  <c r="Y80" i="29" s="1"/>
  <c r="AA108" i="29"/>
  <c r="Z108" i="29"/>
  <c r="AA109" i="29"/>
  <c r="Z109" i="29"/>
  <c r="AA98" i="29"/>
  <c r="Y99" i="29" s="1"/>
  <c r="Z98" i="29"/>
  <c r="AA94" i="29"/>
  <c r="Y95" i="29" s="1"/>
  <c r="Z94" i="29"/>
  <c r="AB17" i="29"/>
  <c r="AC18" i="29"/>
  <c r="AB18" i="29" s="1"/>
  <c r="Z100" i="29"/>
  <c r="AA100" i="29"/>
  <c r="Y101" i="29" s="1"/>
  <c r="AA91" i="29"/>
  <c r="Z91" i="29"/>
  <c r="AB94" i="29"/>
  <c r="AG94" i="29"/>
  <c r="AF94" i="29" s="1"/>
  <c r="AC24" i="29"/>
  <c r="AA50" i="29"/>
  <c r="Y51" i="29" s="1"/>
  <c r="Z50" i="29"/>
  <c r="AB57" i="29"/>
  <c r="AC58" i="29"/>
  <c r="AB58" i="29" s="1"/>
  <c r="AE97" i="29"/>
  <c r="AD97" i="29" s="1"/>
  <c r="AH97" i="29" s="1"/>
  <c r="AE15" i="29"/>
  <c r="AD15" i="29" s="1"/>
  <c r="AG100" i="29"/>
  <c r="AF100" i="29" s="1"/>
  <c r="AA73" i="29"/>
  <c r="Y74" i="29" s="1"/>
  <c r="AE73" i="29" s="1"/>
  <c r="Z73" i="29"/>
  <c r="AA23" i="29"/>
  <c r="Y24" i="29" s="1"/>
  <c r="Z23" i="29"/>
  <c r="Z103" i="29"/>
  <c r="AE103" i="29"/>
  <c r="AD103" i="29" s="1"/>
  <c r="AA103" i="29"/>
  <c r="AB107" i="29"/>
  <c r="AG107" i="29"/>
  <c r="AF107" i="29" s="1"/>
  <c r="AH107" i="29" s="1"/>
  <c r="AB30" i="29"/>
  <c r="AG30" i="29"/>
  <c r="AF30" i="29" s="1"/>
  <c r="AC32" i="29"/>
  <c r="AB32" i="29" s="1"/>
  <c r="AC87" i="29"/>
  <c r="AA85" i="29"/>
  <c r="Y86" i="29" s="1"/>
  <c r="Z85" i="29"/>
  <c r="AC16" i="29"/>
  <c r="AB16" i="29" s="1"/>
  <c r="AB15" i="29"/>
  <c r="AA34" i="29"/>
  <c r="Z34" i="29"/>
  <c r="AA36" i="29"/>
  <c r="Y37" i="29" s="1"/>
  <c r="Z36" i="29"/>
  <c r="AA67" i="29"/>
  <c r="Y68" i="29" s="1"/>
  <c r="Z67" i="29"/>
  <c r="Z89" i="29"/>
  <c r="AA89" i="29"/>
  <c r="AG73" i="29"/>
  <c r="AF73" i="29" s="1"/>
  <c r="AB81" i="29"/>
  <c r="AC82" i="29"/>
  <c r="AB82" i="29" s="1"/>
  <c r="AG97" i="29"/>
  <c r="AF97" i="29" s="1"/>
  <c r="AB90" i="29"/>
  <c r="AC91" i="29"/>
  <c r="AB91" i="29" s="1"/>
  <c r="AC47" i="29"/>
  <c r="Z31" i="29"/>
  <c r="AA31" i="29"/>
  <c r="Y32" i="29" s="1"/>
  <c r="AB67" i="29"/>
  <c r="Z26" i="29"/>
  <c r="AA26" i="29"/>
  <c r="Y27" i="29" s="1"/>
  <c r="AC68" i="29"/>
  <c r="AA18" i="29"/>
  <c r="Y19" i="29" s="1"/>
  <c r="Z18" i="29"/>
  <c r="AB103" i="29"/>
  <c r="AG103" i="29"/>
  <c r="AF103" i="29" s="1"/>
  <c r="AC52" i="29"/>
  <c r="AE17" i="29"/>
  <c r="AD17" i="29" s="1"/>
  <c r="AE30" i="29"/>
  <c r="AD30" i="29" s="1"/>
  <c r="AH30" i="29" s="1"/>
  <c r="AC29" i="29"/>
  <c r="AB29" i="29" s="1"/>
  <c r="E16" i="25"/>
  <c r="E18" i="25"/>
  <c r="E20" i="25"/>
  <c r="E26" i="25"/>
  <c r="E28" i="25"/>
  <c r="K9" i="25"/>
  <c r="M7" i="25"/>
  <c r="E27" i="25"/>
  <c r="E31" i="25"/>
  <c r="G29" i="26"/>
  <c r="C28" i="26"/>
  <c r="E28" i="26" s="1"/>
  <c r="L7" i="25"/>
  <c r="C21" i="26"/>
  <c r="E21" i="26" s="1"/>
  <c r="E29" i="25"/>
  <c r="E24" i="25"/>
  <c r="K10" i="25"/>
  <c r="E11" i="27" s="1"/>
  <c r="L8" i="25"/>
  <c r="F9" i="27" s="1"/>
  <c r="L9" i="25"/>
  <c r="F10" i="27" s="1"/>
  <c r="L10" i="25"/>
  <c r="F11" i="27" s="1"/>
  <c r="M11" i="25"/>
  <c r="J10" i="25"/>
  <c r="K8" i="25"/>
  <c r="I10" i="25"/>
  <c r="I8" i="25"/>
  <c r="C9" i="27" s="1"/>
  <c r="L11" i="25"/>
  <c r="F12" i="27" s="1"/>
  <c r="J8" i="25"/>
  <c r="D9" i="27" s="1"/>
  <c r="M9" i="25"/>
  <c r="G10" i="27" s="1"/>
  <c r="J11" i="25"/>
  <c r="I11" i="25"/>
  <c r="M10" i="25"/>
  <c r="G11" i="27" s="1"/>
  <c r="K11" i="25"/>
  <c r="E12" i="27" s="1"/>
  <c r="J9" i="25"/>
  <c r="D10" i="27" s="1"/>
  <c r="I9" i="25"/>
  <c r="C10" i="27" s="1"/>
  <c r="M8" i="25"/>
  <c r="G9" i="27" s="1"/>
  <c r="I7" i="25"/>
  <c r="C8" i="27" s="1"/>
  <c r="J7" i="25"/>
  <c r="D8" i="27" s="1"/>
  <c r="K7" i="25"/>
  <c r="E8" i="27" s="1"/>
  <c r="C20" i="26"/>
  <c r="E20" i="26" s="1"/>
  <c r="E12" i="25"/>
  <c r="E10" i="25"/>
  <c r="D11" i="27"/>
  <c r="E8" i="25"/>
  <c r="E7" i="25"/>
  <c r="F8" i="27"/>
  <c r="G12" i="27"/>
  <c r="E10" i="27"/>
  <c r="E9" i="27"/>
  <c r="C12" i="27"/>
  <c r="D12" i="27"/>
  <c r="G8" i="27"/>
  <c r="D24" i="26" l="1"/>
  <c r="F24" i="26" s="1"/>
  <c r="D21" i="26"/>
  <c r="F21" i="26" s="1"/>
  <c r="G21" i="26" s="1"/>
  <c r="D8" i="26"/>
  <c r="F8" i="26" s="1"/>
  <c r="AA58" i="29"/>
  <c r="Y59" i="29" s="1"/>
  <c r="Z58" i="29"/>
  <c r="Z24" i="29"/>
  <c r="AA24" i="29"/>
  <c r="Y25" i="29" s="1"/>
  <c r="AB52" i="29"/>
  <c r="AC53" i="29"/>
  <c r="AG15" i="29"/>
  <c r="AF15" i="29" s="1"/>
  <c r="AA46" i="29"/>
  <c r="Y47" i="29" s="1"/>
  <c r="Z46" i="29"/>
  <c r="Z68" i="29"/>
  <c r="AA68" i="29"/>
  <c r="Y69" i="29" s="1"/>
  <c r="AA101" i="29"/>
  <c r="Z101" i="29"/>
  <c r="AA95" i="29"/>
  <c r="Y96" i="29" s="1"/>
  <c r="Z95" i="29"/>
  <c r="AG79" i="29"/>
  <c r="AF79" i="29" s="1"/>
  <c r="AA66" i="29"/>
  <c r="Z66" i="29"/>
  <c r="Z32" i="29"/>
  <c r="AA32" i="29"/>
  <c r="AA86" i="29"/>
  <c r="Y87" i="29" s="1"/>
  <c r="Z86" i="29"/>
  <c r="Z51" i="29"/>
  <c r="AA51" i="29"/>
  <c r="Y52" i="29" s="1"/>
  <c r="AE100" i="29"/>
  <c r="AD100" i="29" s="1"/>
  <c r="AH100" i="29" s="1"/>
  <c r="Z80" i="29"/>
  <c r="AA80" i="29"/>
  <c r="Y81" i="29" s="1"/>
  <c r="AG33" i="29"/>
  <c r="AF33" i="29" s="1"/>
  <c r="AH33" i="29" s="1"/>
  <c r="Z19" i="29"/>
  <c r="AA19" i="29"/>
  <c r="AA37" i="29"/>
  <c r="Y38" i="29" s="1"/>
  <c r="Z37" i="29"/>
  <c r="AB87" i="29"/>
  <c r="AC88" i="29"/>
  <c r="AB88" i="29" s="1"/>
  <c r="Z74" i="29"/>
  <c r="AA74" i="29"/>
  <c r="AA99" i="29"/>
  <c r="Z99" i="29"/>
  <c r="AB68" i="29"/>
  <c r="AC69" i="29"/>
  <c r="AC49" i="29"/>
  <c r="AB49" i="29" s="1"/>
  <c r="AB47" i="29"/>
  <c r="AC48" i="29"/>
  <c r="AH103" i="29"/>
  <c r="AB24" i="29"/>
  <c r="AC25" i="29"/>
  <c r="AG17" i="29"/>
  <c r="AF17" i="29" s="1"/>
  <c r="AH17" i="29" s="1"/>
  <c r="AG26" i="29"/>
  <c r="AF26" i="29" s="1"/>
  <c r="AB40" i="29"/>
  <c r="AC41" i="29"/>
  <c r="Z27" i="29"/>
  <c r="AA27" i="29"/>
  <c r="Y28" i="29" s="1"/>
  <c r="AG90" i="29"/>
  <c r="AF90" i="29" s="1"/>
  <c r="AH90" i="29" s="1"/>
  <c r="AH15" i="29"/>
  <c r="C7" i="26"/>
  <c r="E7" i="26" s="1"/>
  <c r="C25" i="26"/>
  <c r="E25" i="26" s="1"/>
  <c r="C26" i="26"/>
  <c r="E26" i="26" s="1"/>
  <c r="G26" i="26" s="1"/>
  <c r="D14" i="26"/>
  <c r="F14" i="26" s="1"/>
  <c r="C12" i="26"/>
  <c r="E12" i="26" s="1"/>
  <c r="D10" i="26"/>
  <c r="F10" i="26" s="1"/>
  <c r="C30" i="26"/>
  <c r="E30" i="26" s="1"/>
  <c r="G30" i="26" s="1"/>
  <c r="C24" i="26"/>
  <c r="E24" i="26" s="1"/>
  <c r="G24" i="26" s="1"/>
  <c r="D18" i="26"/>
  <c r="F18" i="26" s="1"/>
  <c r="D20" i="26"/>
  <c r="F20" i="26" s="1"/>
  <c r="G20" i="26" s="1"/>
  <c r="D17" i="26"/>
  <c r="F17" i="26" s="1"/>
  <c r="D12" i="26"/>
  <c r="F12" i="26" s="1"/>
  <c r="D11" i="26"/>
  <c r="F11" i="26" s="1"/>
  <c r="D16" i="26"/>
  <c r="F16" i="26" s="1"/>
  <c r="D25" i="26"/>
  <c r="F25" i="26" s="1"/>
  <c r="C11" i="26"/>
  <c r="E11" i="26" s="1"/>
  <c r="B15" i="28"/>
  <c r="B14" i="28"/>
  <c r="B13" i="28"/>
  <c r="B16" i="28"/>
  <c r="D26" i="26"/>
  <c r="F26" i="26" s="1"/>
  <c r="C31" i="26"/>
  <c r="E31" i="26" s="1"/>
  <c r="G31" i="26" s="1"/>
  <c r="D7" i="26"/>
  <c r="F7" i="26" s="1"/>
  <c r="D28" i="26"/>
  <c r="F28" i="26" s="1"/>
  <c r="G28" i="26" s="1"/>
  <c r="B17" i="28" l="1"/>
  <c r="AB25" i="29"/>
  <c r="AG20" i="29"/>
  <c r="AF20" i="29" s="1"/>
  <c r="AA52" i="29"/>
  <c r="Y53" i="29" s="1"/>
  <c r="Z52" i="29"/>
  <c r="Z59" i="29"/>
  <c r="AA59" i="29"/>
  <c r="Z96" i="29"/>
  <c r="AA96" i="29"/>
  <c r="AA47" i="29"/>
  <c r="Y48" i="29" s="1"/>
  <c r="Z47" i="29"/>
  <c r="AA28" i="29"/>
  <c r="Y29" i="29" s="1"/>
  <c r="Z28" i="29"/>
  <c r="AE26" i="29"/>
  <c r="AD26" i="29" s="1"/>
  <c r="AH26" i="29" s="1"/>
  <c r="AA38" i="29"/>
  <c r="Y39" i="29" s="1"/>
  <c r="Z38" i="29"/>
  <c r="AB41" i="29"/>
  <c r="AC42" i="29"/>
  <c r="AB48" i="29"/>
  <c r="AG44" i="29"/>
  <c r="AF44" i="29" s="1"/>
  <c r="AA87" i="29"/>
  <c r="Y88" i="29" s="1"/>
  <c r="Z87" i="29"/>
  <c r="AB69" i="29"/>
  <c r="AC70" i="29"/>
  <c r="AB53" i="29"/>
  <c r="AC55" i="29"/>
  <c r="AB55" i="29" s="1"/>
  <c r="AC54" i="29"/>
  <c r="AE94" i="29"/>
  <c r="AD94" i="29" s="1"/>
  <c r="AH94" i="29" s="1"/>
  <c r="AA25" i="29"/>
  <c r="Z25" i="29"/>
  <c r="AE20" i="29"/>
  <c r="AD20" i="29" s="1"/>
  <c r="AH20" i="29" s="1"/>
  <c r="Z81" i="29"/>
  <c r="AA81" i="29"/>
  <c r="Y82" i="29" s="1"/>
  <c r="AE79" i="29" s="1"/>
  <c r="AD79" i="29" s="1"/>
  <c r="AH79" i="29" s="1"/>
  <c r="AA69" i="29"/>
  <c r="Y70" i="29" s="1"/>
  <c r="Z69" i="29"/>
  <c r="AG84" i="29"/>
  <c r="AF84" i="29" s="1"/>
  <c r="G7" i="26"/>
  <c r="C27" i="26"/>
  <c r="E27" i="26" s="1"/>
  <c r="G11" i="26"/>
  <c r="D22" i="26"/>
  <c r="F22" i="26" s="1"/>
  <c r="C18" i="26"/>
  <c r="E18" i="26" s="1"/>
  <c r="G18" i="26" s="1"/>
  <c r="G25" i="26"/>
  <c r="C16" i="26"/>
  <c r="E16" i="26" s="1"/>
  <c r="G16" i="26" s="1"/>
  <c r="C17" i="26"/>
  <c r="E17" i="26" s="1"/>
  <c r="G17" i="26" s="1"/>
  <c r="C8" i="26"/>
  <c r="E8" i="26" s="1"/>
  <c r="G8" i="26" s="1"/>
  <c r="C22" i="26"/>
  <c r="E22" i="26" s="1"/>
  <c r="G12" i="26"/>
  <c r="D27" i="26"/>
  <c r="F27" i="26" s="1"/>
  <c r="C17" i="28"/>
  <c r="C16" i="28"/>
  <c r="C14" i="28"/>
  <c r="B20" i="28"/>
  <c r="C15" i="28"/>
  <c r="C13" i="28"/>
  <c r="D23" i="26" l="1"/>
  <c r="F23" i="26" s="1"/>
  <c r="AB54" i="29"/>
  <c r="AG50" i="29"/>
  <c r="AF50" i="29" s="1"/>
  <c r="AA29" i="29"/>
  <c r="Z29" i="29"/>
  <c r="AA53" i="29"/>
  <c r="Y54" i="29" s="1"/>
  <c r="Z53" i="29"/>
  <c r="AA88" i="29"/>
  <c r="Z88" i="29"/>
  <c r="AE84" i="29"/>
  <c r="AD84" i="29" s="1"/>
  <c r="AH84" i="29" s="1"/>
  <c r="AC43" i="29"/>
  <c r="AB42" i="29"/>
  <c r="Z48" i="29"/>
  <c r="AA48" i="29"/>
  <c r="Y49" i="29" s="1"/>
  <c r="AE44" i="29" s="1"/>
  <c r="AD44" i="29" s="1"/>
  <c r="AH44" i="29" s="1"/>
  <c r="AA82" i="29"/>
  <c r="Z82" i="29"/>
  <c r="AB70" i="29"/>
  <c r="AC71" i="29"/>
  <c r="AB71" i="29" s="1"/>
  <c r="AC72" i="29"/>
  <c r="AA70" i="29"/>
  <c r="Y71" i="29" s="1"/>
  <c r="Z70" i="29"/>
  <c r="AA39" i="29"/>
  <c r="Y40" i="29" s="1"/>
  <c r="Z39" i="29"/>
  <c r="G22" i="26"/>
  <c r="C10" i="26"/>
  <c r="E10" i="26" s="1"/>
  <c r="G10" i="26" s="1"/>
  <c r="D15" i="26"/>
  <c r="F15" i="26" s="1"/>
  <c r="G27" i="26"/>
  <c r="H189" i="22"/>
  <c r="B189" i="22" a="1"/>
  <c r="B189" i="22" s="1"/>
  <c r="H188" i="22"/>
  <c r="H187" i="22"/>
  <c r="H186" i="22"/>
  <c r="H185" i="22"/>
  <c r="H184" i="22"/>
  <c r="H183" i="22"/>
  <c r="H182" i="22"/>
  <c r="H181" i="22"/>
  <c r="H180" i="22"/>
  <c r="H179" i="22"/>
  <c r="H178" i="22"/>
  <c r="Z40" i="29" l="1"/>
  <c r="AA40" i="29"/>
  <c r="Y41" i="29"/>
  <c r="AA54" i="29"/>
  <c r="Y55" i="29" s="1"/>
  <c r="Z54" i="29"/>
  <c r="AA49" i="29"/>
  <c r="Z49" i="29"/>
  <c r="AB72" i="29"/>
  <c r="AG67" i="29"/>
  <c r="AF67" i="29" s="1"/>
  <c r="AB43" i="29"/>
  <c r="AG35" i="29"/>
  <c r="AF35" i="29" s="1"/>
  <c r="Z71" i="29"/>
  <c r="AA71" i="29"/>
  <c r="Y72" i="29" s="1"/>
  <c r="C14" i="26"/>
  <c r="E14" i="26" s="1"/>
  <c r="G14" i="26" s="1"/>
  <c r="C19" i="26"/>
  <c r="E19" i="26" s="1"/>
  <c r="C23" i="26"/>
  <c r="E23" i="26" s="1"/>
  <c r="G23" i="26" s="1"/>
  <c r="B191" i="22"/>
  <c r="B190" i="22"/>
  <c r="J178" i="22" s="1"/>
  <c r="AA55" i="29" l="1"/>
  <c r="Z55" i="29"/>
  <c r="AA41" i="29"/>
  <c r="Z41" i="29"/>
  <c r="Y42" i="29"/>
  <c r="AA72" i="29"/>
  <c r="Z72" i="29"/>
  <c r="AE67" i="29"/>
  <c r="AE50" i="29"/>
  <c r="AD50" i="29" s="1"/>
  <c r="AH50" i="29" s="1"/>
  <c r="D19" i="26"/>
  <c r="F19" i="26" s="1"/>
  <c r="G19" i="26" s="1"/>
  <c r="C9" i="26"/>
  <c r="E9" i="26" s="1"/>
  <c r="C15" i="26"/>
  <c r="E15" i="26" s="1"/>
  <c r="G15" i="26" s="1"/>
  <c r="D9" i="26" l="1"/>
  <c r="F9" i="26" s="1"/>
  <c r="AA42" i="29"/>
  <c r="Y43" i="29"/>
  <c r="Z42" i="29"/>
  <c r="AE35" i="29"/>
  <c r="AD35" i="29" s="1"/>
  <c r="AH35" i="29" s="1"/>
  <c r="G9" i="26"/>
  <c r="Z43" i="29" l="1"/>
  <c r="AA43" i="29"/>
  <c r="D13" i="26"/>
  <c r="F13" i="26" s="1"/>
  <c r="C13" i="26" l="1"/>
  <c r="E13" i="26" s="1"/>
  <c r="G13" i="26" l="1"/>
  <c r="O10" i="26"/>
  <c r="O11" i="27" s="1"/>
  <c r="K8" i="26"/>
  <c r="K9" i="27" s="1"/>
  <c r="N10" i="26"/>
  <c r="N11" i="27" s="1"/>
  <c r="L11" i="26"/>
  <c r="L12" i="27" s="1"/>
  <c r="M7" i="26"/>
  <c r="M8" i="27" s="1"/>
  <c r="N9" i="26"/>
  <c r="N10" i="27" s="1"/>
  <c r="K9" i="26"/>
  <c r="K10" i="27" s="1"/>
  <c r="O9" i="26"/>
  <c r="O10" i="27" s="1"/>
  <c r="O7" i="26"/>
  <c r="O8" i="27" s="1"/>
  <c r="L10" i="26"/>
  <c r="L11" i="27" s="1"/>
  <c r="L7" i="26"/>
  <c r="L8" i="27" s="1"/>
  <c r="O8" i="26"/>
  <c r="O9" i="27" s="1"/>
  <c r="K7" i="26"/>
  <c r="K8" i="27" s="1"/>
  <c r="M11" i="26"/>
  <c r="M12" i="27" s="1"/>
  <c r="K10" i="26"/>
  <c r="K11" i="27" s="1"/>
  <c r="K11" i="26"/>
  <c r="K12" i="27" s="1"/>
  <c r="M8" i="26"/>
  <c r="M9" i="27" s="1"/>
  <c r="N11" i="26"/>
  <c r="N12" i="27" s="1"/>
  <c r="N7" i="26"/>
  <c r="N8" i="27" s="1"/>
  <c r="L8" i="26"/>
  <c r="L9" i="27" s="1"/>
  <c r="M9" i="26"/>
  <c r="M10" i="27" s="1"/>
  <c r="N8" i="26"/>
  <c r="N9" i="27" s="1"/>
  <c r="O11" i="26"/>
  <c r="O12" i="27" s="1"/>
  <c r="L9" i="26"/>
  <c r="L10" i="27" s="1"/>
  <c r="M10" i="26"/>
  <c r="M11" i="27" s="1"/>
  <c r="D16" i="28" l="1"/>
  <c r="D15" i="28"/>
  <c r="D14" i="28"/>
  <c r="D13" i="28"/>
  <c r="D17" i="28" l="1"/>
  <c r="E13" i="28" s="1"/>
  <c r="E22" i="28"/>
  <c r="E16" i="28" l="1"/>
  <c r="E15" i="28"/>
  <c r="E14" i="28"/>
  <c r="D20" i="28"/>
  <c r="E17"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B9D47652-40CF-49D0-86E9-B3D5E5189C73}">
      <text>
        <r>
          <rPr>
            <b/>
            <sz val="9"/>
            <color indexed="81"/>
            <rFont val="Tahoma"/>
            <family val="2"/>
          </rPr>
          <t>Celdas parametrizadas no modificar.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EDE6C867-7B50-4958-B7E7-8CFD42DBB26C}">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A7407E08-DB97-4CD6-BA12-A966CEE5F92B}">
      <text>
        <r>
          <rPr>
            <b/>
            <sz val="9"/>
            <color indexed="81"/>
            <rFont val="Tahoma"/>
            <family val="2"/>
          </rPr>
          <t>Celdas parametrizadas NO modificar.</t>
        </r>
        <r>
          <rPr>
            <sz val="9"/>
            <color indexed="81"/>
            <rFont val="Tahoma"/>
            <family val="2"/>
          </rPr>
          <t xml:space="preserve">
</t>
        </r>
      </text>
    </comment>
    <comment ref="D12" authorId="0" shapeId="0" xr:uid="{8C9D365C-C0F1-42BE-938C-4F9A1595306C}">
      <text>
        <r>
          <rPr>
            <b/>
            <sz val="9"/>
            <color indexed="81"/>
            <rFont val="Tahoma"/>
            <family val="2"/>
          </rPr>
          <t>Celdas parametrizadas NO modificar.</t>
        </r>
        <r>
          <rPr>
            <sz val="9"/>
            <color indexed="81"/>
            <rFont val="Tahoma"/>
            <family val="2"/>
          </rPr>
          <t xml:space="preserve">
</t>
        </r>
      </text>
    </comment>
  </commentList>
</comments>
</file>

<file path=xl/sharedStrings.xml><?xml version="1.0" encoding="utf-8"?>
<sst xmlns="http://schemas.openxmlformats.org/spreadsheetml/2006/main" count="1787" uniqueCount="761">
  <si>
    <t>MAPA DE RIESGOS DE PROCESO</t>
  </si>
  <si>
    <r>
      <t>CÓDIGO:</t>
    </r>
    <r>
      <rPr>
        <sz val="12"/>
        <rFont val="Arial Narrow"/>
        <family val="2"/>
      </rPr>
      <t xml:space="preserve"> F-GM-29</t>
    </r>
  </si>
  <si>
    <r>
      <t xml:space="preserve">VERSIÓN: </t>
    </r>
    <r>
      <rPr>
        <sz val="12"/>
        <rFont val="Arial Narrow"/>
        <family val="2"/>
      </rPr>
      <t>05</t>
    </r>
  </si>
  <si>
    <r>
      <t xml:space="preserve">FECHA: </t>
    </r>
    <r>
      <rPr>
        <sz val="12"/>
        <rFont val="Arial Narrow"/>
        <family val="2"/>
      </rPr>
      <t>30/03/2022</t>
    </r>
  </si>
  <si>
    <r>
      <t xml:space="preserve">PÁGINA: </t>
    </r>
    <r>
      <rPr>
        <sz val="12"/>
        <rFont val="Arial Narrow"/>
        <family val="2"/>
      </rPr>
      <t>1 de 3</t>
    </r>
  </si>
  <si>
    <t xml:space="preserve">4.2.1. ESTABLECIMIENTO DEL CONTEXTO </t>
  </si>
  <si>
    <t xml:space="preserve">PROCESO: </t>
  </si>
  <si>
    <t>Gestión Financiera</t>
  </si>
  <si>
    <t>FECHA DE ELABORACIÓN O ACTUALIZACIÓN:</t>
  </si>
  <si>
    <t>Diciembre de 2021</t>
  </si>
  <si>
    <t>RESPONSABLE (s) DE ELABORACIÓN O ACTUALIZACIÓN</t>
  </si>
  <si>
    <t>Subdirector Administrativo y Financiero</t>
  </si>
  <si>
    <t>Factor: Externo/Interno/Proceso</t>
  </si>
  <si>
    <t xml:space="preserve">Variable </t>
  </si>
  <si>
    <t xml:space="preserve">¿Cómo me puede afectar? </t>
  </si>
  <si>
    <t>CARÁCTER: Positivo/negativo</t>
  </si>
  <si>
    <t>Breve análisis</t>
  </si>
  <si>
    <t>Factor Externo</t>
  </si>
  <si>
    <t>Transferencias municipales</t>
  </si>
  <si>
    <t>NEGATIVO</t>
  </si>
  <si>
    <t>POSITIVO</t>
  </si>
  <si>
    <t xml:space="preserve">Reduce la inversión en procesos misionales y gastos de funcionamiento, agudizado actualmente por la destinación de recursos para la atención de la emergencia sanitaria COVID 19. </t>
  </si>
  <si>
    <t>Factor de proceso</t>
  </si>
  <si>
    <t>Recuperación de cartera</t>
  </si>
  <si>
    <t>La irrecuperabilidad de la cartera afecta los recursos para soportar los gastos de funcionamiento proyectados en el presupuesto del instituto</t>
  </si>
  <si>
    <t>Solvencia financiera por parte de los usuarios</t>
  </si>
  <si>
    <t>Afecta las metas proyectadas para el recaudo de la cartera.</t>
  </si>
  <si>
    <t>Factor Interno</t>
  </si>
  <si>
    <t>Comunicación con los grupos de interes</t>
  </si>
  <si>
    <t xml:space="preserve">No permite la accesibilidad y consulta constante de información por parte de los grupos de interes, en medios de comunicación dispuestos por la entidad. </t>
  </si>
  <si>
    <t>Conflicto de orden público</t>
  </si>
  <si>
    <t xml:space="preserve">Afectaciones a la integridad de las personas que podria desencadenar pagos de indemnización a terceros. </t>
  </si>
  <si>
    <t>Fortaleza en las alianzas para la cooperación</t>
  </si>
  <si>
    <t>Las inicativas de cooperación que actualmente desarrolla el Instituto permitirá el acceso a recursos y por ende el cumplimiento de las metas globales.</t>
  </si>
  <si>
    <t>Imposiciones administrativas y financieras</t>
  </si>
  <si>
    <t>El instituto se ve afectado en ciertas circunstancias por directrices impartidas desde la administración central.</t>
  </si>
  <si>
    <t>Medio ambiente</t>
  </si>
  <si>
    <t>Situaciones de desastre derivados de temas ambientales, pueden generar contingencias y por ende la redistribución de recursos.</t>
  </si>
  <si>
    <t>Cambios normativos</t>
  </si>
  <si>
    <t>Cambios normativos en términos del presupuesto que buscan la estandarización de los informes del presupuesto.</t>
  </si>
  <si>
    <t>Cambio de administración</t>
  </si>
  <si>
    <t>Se puede ver afectada la asignación de recursos dada la priorización de necesidades.</t>
  </si>
  <si>
    <t xml:space="preserve">Debilidad en la planificación de cambios </t>
  </si>
  <si>
    <t xml:space="preserve">No se proyectan los cambios de acuerdo al ciclo presupuestal y asignación de recursos. </t>
  </si>
  <si>
    <t>Planeación de actividades internas</t>
  </si>
  <si>
    <t>No existe articulación entre lo planeado y lo ejecutado lo cual afecta los resultados.</t>
  </si>
  <si>
    <t>Sistemas de información</t>
  </si>
  <si>
    <t>El Instituto no cuenta con recursos tecnológicos adecuados para la a elaboración de sus procesos, además algunas herramientas son sub-utilizadas.</t>
  </si>
  <si>
    <t>Competencias del personal</t>
  </si>
  <si>
    <t>Falencias en la incorporación que se ajuste a los perfiles definidos en el Instituto dada la modalidad de contratación de personal.</t>
  </si>
  <si>
    <t>Evaluación del desempeño</t>
  </si>
  <si>
    <t xml:space="preserve">Los resultados en la evaluación del desempeño no se utiliza para efectos de planes de mejoramiento individuales.  </t>
  </si>
  <si>
    <t xml:space="preserve">Estructura organizacional </t>
  </si>
  <si>
    <t>La estructura organizacional actual no es la óptima para el funcionamiento del Instituto.</t>
  </si>
  <si>
    <t>Trabajo en equipo</t>
  </si>
  <si>
    <t>Existe una desarticulación al interior del proceso y con los demás procesos del Instituto, lo que genera reprocesos, desinformación e incumplimiento de entrega de información.</t>
  </si>
  <si>
    <t xml:space="preserve">Adopción inadecuada de herramientas de seguimiento </t>
  </si>
  <si>
    <t xml:space="preserve">Falta de articulación de herramientas de seguimiento y aplicación de las mismas. </t>
  </si>
  <si>
    <t>Administración del sistema de gestión de la calidad</t>
  </si>
  <si>
    <t xml:space="preserve">El proceso del sistema de gestión de calidad aporta a la articulación de los procesos, respondiendo a los requerimientos establecidos en el MIPG. </t>
  </si>
  <si>
    <t>Estilo de dirección</t>
  </si>
  <si>
    <t>El cambio frecuente en los cargos directivos, genera inestabilidad en el desarrollo de los procesos.</t>
  </si>
  <si>
    <t>Ambiente de trabajo</t>
  </si>
  <si>
    <t>No existe un adecuado ambiente físico y psicosocial para el desarrollo de los funcionarios y colaboradores.  Igualmente afecta el servicio a los usuarios del Instituto.</t>
  </si>
  <si>
    <t>Ambiental o Biologico</t>
  </si>
  <si>
    <t>Cambios en la calidad de vida y entorno laboral a raiz de posibles catastofes, ambientales o biologicas, como la pandemia.</t>
  </si>
  <si>
    <t>CÓDIGO: F-GM-29</t>
  </si>
  <si>
    <r>
      <t xml:space="preserve">VERSIÓN: </t>
    </r>
    <r>
      <rPr>
        <sz val="11"/>
        <color theme="1"/>
        <rFont val="Arial Narrow"/>
        <family val="2"/>
      </rPr>
      <t>05</t>
    </r>
  </si>
  <si>
    <r>
      <t xml:space="preserve">FECHA: </t>
    </r>
    <r>
      <rPr>
        <sz val="11"/>
        <color theme="1"/>
        <rFont val="Arial Narrow"/>
        <family val="2"/>
      </rPr>
      <t>30/03/2022</t>
    </r>
  </si>
  <si>
    <r>
      <t xml:space="preserve">PÁGINA: </t>
    </r>
    <r>
      <rPr>
        <sz val="11"/>
        <color theme="1"/>
        <rFont val="Arial Narrow"/>
        <family val="2"/>
      </rPr>
      <t>3 de 3</t>
    </r>
  </si>
  <si>
    <t>PROCESO:</t>
  </si>
  <si>
    <t>Suddirector Administrativo y Financiero</t>
  </si>
  <si>
    <t>OBJETIVO:</t>
  </si>
  <si>
    <t>Gestionar presupuestal y financieramente los recursos del Instituto, garantizando el cumplimiento de requisitos legales.</t>
  </si>
  <si>
    <t>ALCANCE:</t>
  </si>
  <si>
    <t xml:space="preserve">Desde la elaboración del presupuesto hasta la presentación de estados contables y financieros consolidados. </t>
  </si>
  <si>
    <t>4.2. IDENTIFICACION DEL RIESGO</t>
  </si>
  <si>
    <t>4.3. EVALUACIÓN DEL RIESGO</t>
  </si>
  <si>
    <t>4.4. TRATAMIENTO DEL RIESGO</t>
  </si>
  <si>
    <t xml:space="preserve">Referencia </t>
  </si>
  <si>
    <t>Objetivo / Requisto a cumplir</t>
  </si>
  <si>
    <t>Temática / Linea de Acción</t>
  </si>
  <si>
    <t>1. QUE?</t>
  </si>
  <si>
    <t>2. COMO SE REFLEJA?</t>
  </si>
  <si>
    <t>3. POR QUE?
(Evento Potencial Principal)</t>
  </si>
  <si>
    <t>Descripción del Riesgo
(1+2+3)</t>
  </si>
  <si>
    <t>Causa
(Evento Potencial Intermedio)</t>
  </si>
  <si>
    <t>Clasificación del Riesgo</t>
  </si>
  <si>
    <t>EVALUACION DE RIESGO INHERENTE</t>
  </si>
  <si>
    <t>VALORACION DE CONTROLES</t>
  </si>
  <si>
    <t>EVALUACION DEL RIESGO RESIDUAL</t>
  </si>
  <si>
    <t>Tratamiento</t>
  </si>
  <si>
    <t>FORMULAR ACCIONES ESPECIFICAS</t>
  </si>
  <si>
    <t>Probabilidad Inherente</t>
  </si>
  <si>
    <t>%</t>
  </si>
  <si>
    <t>Impacto 
Inherente</t>
  </si>
  <si>
    <t>Zona de Riesgo Inherente</t>
  </si>
  <si>
    <t>No. Control</t>
  </si>
  <si>
    <t>Descripción del Control
(Medida Actual)</t>
  </si>
  <si>
    <t>Afectación</t>
  </si>
  <si>
    <t>Atributos</t>
  </si>
  <si>
    <t>Probabilidad Residual</t>
  </si>
  <si>
    <t xml:space="preserve">Probabilidad Residual </t>
  </si>
  <si>
    <t>Impacto Residual</t>
  </si>
  <si>
    <t>Probabilidad Residual Final</t>
  </si>
  <si>
    <t>Impacto Residual Final</t>
  </si>
  <si>
    <t>Zona de Riesgo Final</t>
  </si>
  <si>
    <t>VER ACCION #</t>
  </si>
  <si>
    <t>Tipo</t>
  </si>
  <si>
    <t>Implementación</t>
  </si>
  <si>
    <t>Calificación</t>
  </si>
  <si>
    <t>Documentación</t>
  </si>
  <si>
    <t>Frecuencia</t>
  </si>
  <si>
    <t>Evidencia</t>
  </si>
  <si>
    <t>Nombre de la evidencia</t>
  </si>
  <si>
    <t>GF16</t>
  </si>
  <si>
    <t>NA
Riesgo Fiscal</t>
  </si>
  <si>
    <t>Tesorería</t>
  </si>
  <si>
    <t>Posibilidad de afectación reputacional y económica</t>
  </si>
  <si>
    <t>Por quejas interpuestas de manera informal o por correo electrónico por parte de proveedores y contratistas.
Por disminución en la liquidez institucional.
Por pérdida de recursos.
Por acciones legales de terceros</t>
  </si>
  <si>
    <t>debido a la realización de desembolsos por valores diferentes a los obligados.</t>
  </si>
  <si>
    <t>Posibilidad de afectación reputacional y económica del Instituto por quejas interpuestas de manera informal o por correo electrónico por parte de los proveedores y contratistas, por disminución en la liquidez institucional, por pérdida de recursos, así como por posibles acciones legales de terceros. Lo anterior, debido a la realización de desembolsos por valores diferentes a los obligados.</t>
  </si>
  <si>
    <t>1. Errores en la digitación</t>
  </si>
  <si>
    <t>Riesgo Fiscal</t>
  </si>
  <si>
    <t>Alta</t>
  </si>
  <si>
    <t>Moderado</t>
  </si>
  <si>
    <t>1.1.</t>
  </si>
  <si>
    <t>El profesional de tesorería genera el soporte de pago a través de la sucursal bancaria y lo compara contra el egreso.</t>
  </si>
  <si>
    <t>Detectivo</t>
  </si>
  <si>
    <t>Manual</t>
  </si>
  <si>
    <t>Sin Documentar</t>
  </si>
  <si>
    <t>Continua</t>
  </si>
  <si>
    <t>Con Registro</t>
  </si>
  <si>
    <t>Documentos que soportan la solicitud de pago.</t>
  </si>
  <si>
    <t>Reducir (mitigar)</t>
  </si>
  <si>
    <t>1.2.</t>
  </si>
  <si>
    <t>El aprobador del pago valida que lo registrado en la sucursal bancaria corresponda a los soportes de la solicitud de pago (obligación y egreso)</t>
  </si>
  <si>
    <t>Preventivo</t>
  </si>
  <si>
    <t>GF17</t>
  </si>
  <si>
    <t>NA
Riesgos Fiscal</t>
  </si>
  <si>
    <t>Posibilidad de afectación económica</t>
  </si>
  <si>
    <t>Por disminución en la liquidez institucional
Por pérdida de recursos</t>
  </si>
  <si>
    <t>debido a la realización de pagos dobles de obligaciones.</t>
  </si>
  <si>
    <t>Posibilidad de afectación económica por disminución en la liquidez institucional así como por pérdida de recursos, debido a la realización de pagos dobles de obligaciones.</t>
  </si>
  <si>
    <t>1. Falta de control a la documentación de los pagos realizados.</t>
  </si>
  <si>
    <t>Mayor</t>
  </si>
  <si>
    <t>El profesional asignado del área de contabilidad realiza la conciliación bancaria e identifica el pago doble de obligaciones, para lo cual compara el libro auxiliar contable contra el extracto bancario.</t>
  </si>
  <si>
    <t>Aleatoria</t>
  </si>
  <si>
    <t>Conciliación bancaria</t>
  </si>
  <si>
    <t>El profesional de tesorería una vez realiza el pago, pone VoBo de pago en la documentación soporte, esto con el fin de evitar de que por error se vuelva a realizar el pago.</t>
  </si>
  <si>
    <t>Documentación soporte de cada pago con VoBo de pagado</t>
  </si>
  <si>
    <t>En caso de materialización del riesgo, desde la tesorería del ISVIMED,una vez identificado el pago doble y el beneficiario del mismo, se realiza una solicitud a traves de correo electronico requriendo realizar el reembolso del recurso correspondiente a la cuenta que se vio afectada. En caso de que el beneficiario no quiera realizar el reembolso, este recurso se le debitará del proximo pago que pueda tener a su favor, y en caso no cuente con un proximo pago se interpondra un recurso legal a fin de gestionar la devolución de dicho dinero.</t>
  </si>
  <si>
    <t>Correctivo</t>
  </si>
  <si>
    <t xml:space="preserve">Solictud de Reembolso al contratista al cual se realizó el pago doble.
Soporte del ingreso del recurso a la cuenta bancaria.
Traslado a Subdirección Jurídica para recuperación del recursos a través de recurso legal.
</t>
  </si>
  <si>
    <t>GF18</t>
  </si>
  <si>
    <t>NA
Riesgo de Corrupción</t>
  </si>
  <si>
    <t>Posibilidad de afectación económica y reputacional del Instituto</t>
  </si>
  <si>
    <t>por perdida de recursos y por lo tanto posibles sanciones de índole disciplinaria, penal y/o económica por parte de los entes de control</t>
  </si>
  <si>
    <t>debido a la apropiación de recursos financieros por parte empleados o terceros para el beneficio particular.</t>
  </si>
  <si>
    <t>Posibilidad de afectación económica y reputacional del Instituto por perdida de recursos y por lo tanto posibles sanciones de índole disciplinaria, penal y/o económica por parte de los entes de control, debido a la apropiación de recursos financieros por parte empleados o terceros para el beneficio particular.</t>
  </si>
  <si>
    <t>Catastrófico</t>
  </si>
  <si>
    <t>En el caso de apropiación indebida recursos por parte de un funcionario (materialización del riesgo), el caso debe remitirse al oficial de transparencia quien a su vez deberá informar a los entes de control con el fin de que lleven a cabo las investigaciones pertinentes.
Documentado en: P-GE-10, PROCEDIMIENTO PARA EL TRAMITE DE DENUNCIAS.</t>
  </si>
  <si>
    <t>Documentado</t>
  </si>
  <si>
    <t xml:space="preserve">
Reporte del hecho de corrupción al oficial de transparencia.
Oficio remisorio a la autoridad competente</t>
  </si>
  <si>
    <t>Identificar si existen pólizas con la cobertura suficiente para amparar los saldos que se manejan en las cuentas bancarias. En caso afirmativo incorporar este control a este riesgo.</t>
  </si>
  <si>
    <t>1. La persona que prepara los pagos es la misma que las aprueba en el portal bancario (falta de segregación de funciones).</t>
  </si>
  <si>
    <t>El profesional de tesorería y la contratistas de fiducias preparan los pagos en los portales bancarios correspondientes y el Subdirector Administrativo y Financiero los aprueba.</t>
  </si>
  <si>
    <t>Sin Registro</t>
  </si>
  <si>
    <t>N/A</t>
  </si>
  <si>
    <t>2. Falta de control en la aprobación de los gastos relacionados con la caja menor.</t>
  </si>
  <si>
    <t>El Director del Isvimed aprueba la realización del gasto. La persona asignada por la resolución para el manejo de la caja menor y el profesional designado por el área contable realizan arqueos de caja de manera periódica.</t>
  </si>
  <si>
    <t>Actas de arqueos de caja</t>
  </si>
  <si>
    <t>3. Ausencia de conciliaciones a los recursos administrados en entidades financieras y sociedades fiduciarias.</t>
  </si>
  <si>
    <t>El profesional designado en el área contable realiza mensualmente conciliaciones bancarias para identificar diferencias entre los saldos contables y los extractos bancarios y de fiducias.</t>
  </si>
  <si>
    <t>Conciliación bancaria y de fiducias mensual</t>
  </si>
  <si>
    <t>4. El proceso de selección de personal para cargos de manejo y confianza, no incluye la verificación de la situación socioeconómica del aspirante.</t>
  </si>
  <si>
    <t xml:space="preserve">desde el proceso de talento humano se aplica la lista de chequeo F-GH-03 que establece los documentos necesarios para dar inicio al trámite de vinculación de un funcionario en la entidad, dentro de estos requerimientos se solicita la declaración juramentada de bienes y rentas (Función Pública) descargado directamente del SIGEP, en la cual se detalla la situación socioeconómica de los aspirantes.
La profesional de Talento Humano verifica la información de la declaración de bienes y rentas, identificando si el nivel de los pasivos es considerable con relación al nivel de ingresos, lo cual podría considerarse como una situación generadora de presión para cometer hechos de corrupción, y debe generarse la alerta respectiva.   </t>
  </si>
  <si>
    <t>la lista de chequeo Vinculación, F-GH-03</t>
  </si>
  <si>
    <t>5. Ausencia de una línea de denuncias</t>
  </si>
  <si>
    <t>La entidad cuenta con dos canales para la recepción de denuncias por posibles hechos o riesgos de corrupción, a través de la pagina web y el corrreo soytransparente@isvimed.gov.co. A través de estos canales el denunciante tiene la opción de interponer la denuncia a nombre propio o de manera anónima.
El oficial de transparencia recible la denuncia, coordina el respectivo estudio y si el del caso, realiza la remisión de la misma ante las autoridades competentes.
El oficial de transparencia realiza seguimiento al estado de trámite de cada denuncia y cuando sea posible proporciona respuesta al denunciante.
Documentado en: P-GE-10, PROCEDIMIENTO PARA EL TRAMITE DE DENUNCIAS.</t>
  </si>
  <si>
    <t>Acta de estudio de la Denuncia
Oficio remisorio a la autoridad competente
control de denuncias RITA.
Respuesta al denunciante.</t>
  </si>
  <si>
    <t>GF30</t>
  </si>
  <si>
    <t>Lograr un 95% de cumplimiento en pagos con relación al PAC proyectado de gastos.</t>
  </si>
  <si>
    <t>reflejada en 
- quejas por parte la comunidad por no recibir los productos y servicios derivados de los proyectos de inversión.
- Quejas por parte de proveedores por el no pago de obligaciones contractuales.
- Requerimientos por parte del Distrito y el Concejo de Medellín derivados del incumplimiento de metas de Plan de Desarrollo Distrital.
- Hallazgos por parte de entes de Control
- Pago de intereses de mora por el incumplimiento de los pagos.
- Disminución en las transferencias distritales por baja ejecución del PAC
- por acciones legales de terceros.</t>
  </si>
  <si>
    <t>debido a que no se de cumplimiento a los pagos con relación al PAC proyectado de gastos</t>
  </si>
  <si>
    <t>Posibilidad de afectación reputacional y económica para el Instituto reflejada en quejas por parte la comunidad por no recibir los productos y servicios derivados de los proyectos de inversión, Quejas por parte de proveedores por el no pago de obligaciones contractuales, Requerimientos por parte del Distrito y el Concejo de Medellín derivados del incumplimiento de metas de Plan de Desarrollo Distrital, Hallazgos por parte de entes de Control, pago de intereses de mora por el incumplimiento de los pagos,  disminución en las transferencias distritales por baja ejecución del PAC asi como por posibles acciones legales de terceros. Lo anterior, debido a que no se de cumplimiento a los pagos con relación al PAC proyectado de gastos.</t>
  </si>
  <si>
    <t xml:space="preserve">1. Los encargados de elaborar las solicitudes de pago, no las entregan en cumplimiento de requisitos o de acuerdo con los plazos estipulados en el cronograma de cierre financiero mensual. </t>
  </si>
  <si>
    <t>El area contable elabora y envia el cronograma de cierre financiero mensual a todas las dependencias. De manera general no se reciben solicitudes de pago por fuera del tiempo estipulado.
Una vez se reciben las solicitudes de pago, el area contable valida que estas solicitudes tengan los soportes descritos en el PROCEDIMIENTO PARA PAGOS, P-GF-10 de acuerdo a cada tipología.
Posteriormente el area de presupuesto verifica los soportes presupuestales y la disponibilidad de PAC para generar la orden de pago OP.
Por su parte, el area de Tesorería verifica la disponiblidad de recursos en caja y la existencia de los soportes requeridos de acuerdo al procedimiento en mención, para proceder a realizar los pagos y afectar el PAC de gastos.</t>
  </si>
  <si>
    <t xml:space="preserve">Solicitud de Pago con soportes relacionados en el PROCEDIMIENTO PARA PAGOS, P-GF-10.
Orden de Pago OP
Comprobante de Egreso
Soporte de desembolso del banco
</t>
  </si>
  <si>
    <t>2. No se cuentan con los recursos en caja con relación al PAC de gastos proyectado</t>
  </si>
  <si>
    <t>2.1</t>
  </si>
  <si>
    <t>La tesorera general verifica periódicamente la disponibilidad de los recursos en caja con relación a la programación de pagos lo informa de manera mensual en el Comité Finaniero
Documentado en: Resolución del Comité Financiero</t>
  </si>
  <si>
    <t>Acta del Comité Financiero</t>
  </si>
  <si>
    <t>2.2</t>
  </si>
  <si>
    <t>La tesorera general en el caso de no contar con recursos en caja para la realización de pagos, procede a realizar unidad de caja, identificando los recursos disponibles en otros rubros para cubrir los pagos.</t>
  </si>
  <si>
    <t>Informe de Ejecución Presupuestal</t>
  </si>
  <si>
    <t xml:space="preserve">3. Imposibilidad de ingresar a los portales bancarios por fallas técnicas. </t>
  </si>
  <si>
    <t xml:space="preserve">Como política los recursos en bancos tanto para funcionamiento como para inversión se tienen en cuentas bancarias de diferentes instituciones bancarias. De esta manera, en el caso de falla técnica en un institución bancaria se utilizan los recursos de la otra.
Por otro lado, se tiene la opción de expedir cheques, para evitar el uso del portal bancario con fallas. </t>
  </si>
  <si>
    <t>Comprobantes de egreso
Cheques</t>
  </si>
  <si>
    <t>GF31</t>
  </si>
  <si>
    <t>Lograr un 100% de cumplimiento del reintegro mensual de los rendimientos financieros con relación a la resolución 112 CODFIS.</t>
  </si>
  <si>
    <t>Posibilidad de afectación reputacional del Instituto</t>
  </si>
  <si>
    <t>reflejada en hallazgos por parte de los entes de control y requerimiento del Concejo Ditstrital de Medellín</t>
  </si>
  <si>
    <t>debido a que no se de cumplimiento al reintegro mensual de los rendimientos financieros con relación a la resolución 112 CODFIS</t>
  </si>
  <si>
    <t>Posibilidad de afectación reputacional del Instituto reflejada en hallazgos por parte de los entes de control y requerimiento del Concejo Ditstrital de Medellín, debido a que no se de cumplimiento al reintegro mensual de los rendimientos financieros con relación a la resolución 112 CODFIS.</t>
  </si>
  <si>
    <t>No se realizar la identifiacción y control sobre la generación de los rendimientos financieros generados en cuentas propias y fideicomisos de la entidad</t>
  </si>
  <si>
    <t>Media</t>
  </si>
  <si>
    <t>La Tesorera General y el equipo de fiducias realiza las conciliaciones bancarias de manera mensual para identificar los rendimiento financieros generados en cada cuenta, los cuales son los que se deben restituir.</t>
  </si>
  <si>
    <t>Conciliaciones bancarias
Extractos Bancarios</t>
  </si>
  <si>
    <t>No se realiza el pago por rendimientos financieros al Distrito</t>
  </si>
  <si>
    <t>La Tesorera General y el equipo de fiducias elaboran el formatos de reintegro para cada cuenta bancaria con intereses a restituir y solicita al Distrito la expedición de la cuenta de cobro</t>
  </si>
  <si>
    <t>Comprobante de egreso
Extractos Bancarios
Auxiliar Contable</t>
  </si>
  <si>
    <t>En caso de materialización del riesgo por medio de un proceso de depuración de saldos, la Tesorera General una vez identificados los intereses no reintergrados procede a diligenciar los formatos de reintegro y solicita al Distrito la expedición de la cuenta de cobro.</t>
  </si>
  <si>
    <t>Hoja de trabajo con identificación de intereses no reintegrados
Extractos Bancarios</t>
  </si>
  <si>
    <t>GF32</t>
  </si>
  <si>
    <t>Lograr un 100% de cumplimiento del presupuesto pactado a nivel de transferencias, con relación a lo facturado al Distrito, de manera mensual.</t>
  </si>
  <si>
    <t>Posibilidad de afectacion reputacional y económico</t>
  </si>
  <si>
    <t xml:space="preserve">reflejada en:
- requerimeintos del Distrito y el Concejo Distrital por el incumplimiento de metas y objetivos de Plan de Desarrollo.
- Hallazgos por parte de los entes de control.
- Pago de multas, sanciones, intereses moratorias por el incumplimiento en el pago de obligaciones.
</t>
  </si>
  <si>
    <t>debido a que no se desembolsen las transferencias pactadas por parte del Distrito</t>
  </si>
  <si>
    <t>Posibilidad de afectacion reputacional y económico, reflejada en requerimeintos del Distrito y el Concejo Distrital por el incumplimiento de metas y objetivos de Plan de Desarrollo, hallazgos por parte de los entes de control, pago de multas, sanciones, intereses moratorias por el incumplimiento en el pago de obligaciones. Lo anterior, debido a que no se desembolsen las transferencias pactadas por parte del Distrito.</t>
  </si>
  <si>
    <t>1. El distrito no realiza el pago total de la transferencia presupuestada en cada mes o realiza recortes presupuestales.</t>
  </si>
  <si>
    <t>La tesorera General / Dirección gestiona el desembolso de los recursos con la Secretaría de Hacienda del Distrito a través de reuniones, llamadas, correos, oficios.</t>
  </si>
  <si>
    <t>Actas de reunión, correos eletrónicos y oficios.</t>
  </si>
  <si>
    <t>2. El distrito no aprueba la cuenta de cobro de transferencias por errores en la elaboración de la misma por parte del Instituto</t>
  </si>
  <si>
    <t>La Tesorera General reliza la corrección de la cuenta de cobro y la envía nuevamente al Distrito.</t>
  </si>
  <si>
    <t>Cuenta de cobro de Transferencias Distritales corregida.</t>
  </si>
  <si>
    <t>NA</t>
  </si>
  <si>
    <t>GF19</t>
  </si>
  <si>
    <t>Cartera</t>
  </si>
  <si>
    <t>Posibilidad de afectación económica y reputacional</t>
  </si>
  <si>
    <t>Por disminución de ingresos que afecta el cumplimiento de pagos.
Detrimento Patrimonial.
Por Hallazgos de los entes de control</t>
  </si>
  <si>
    <r>
      <t>debido</t>
    </r>
    <r>
      <rPr>
        <sz val="11"/>
        <color theme="1"/>
        <rFont val="Arial Narrow"/>
        <family val="2"/>
      </rPr>
      <t xml:space="preserve"> al aumento</t>
    </r>
    <r>
      <rPr>
        <sz val="11"/>
        <rFont val="Arial Narrow"/>
        <family val="2"/>
      </rPr>
      <t xml:space="preserve"> de la cartera hipotecaria de aquellas obligaciones mayor a 6 cuotas vencidas (&gt; 180 días).</t>
    </r>
  </si>
  <si>
    <r>
      <rPr>
        <b/>
        <sz val="11"/>
        <rFont val="Arial Narrow"/>
        <family val="2"/>
      </rPr>
      <t>Posibilidad</t>
    </r>
    <r>
      <rPr>
        <sz val="11"/>
        <rFont val="Arial Narrow"/>
        <family val="2"/>
      </rPr>
      <t xml:space="preserve"> de afectación económica y reputacional del Instituto por disminución de ingresos que afecta el cumplimiento de pagos, detrimento patrimonial así como por hallazgos de los entes de control, debido al aumento de la cartera hipotecaria de aquellas obligaciones mayor a 6 cuotas vencidas (&gt; 180 días).</t>
    </r>
  </si>
  <si>
    <t>1. Falta de recursos de los morosos.</t>
  </si>
  <si>
    <t>Informe de las edades de la cartera hipotecaria.
Plan de recuperación de cartera</t>
  </si>
  <si>
    <t>El responsable de la Cartera Hipotecaria identifica deudores con mas 4 cuotas vencidas para indagar sobre la causa del no pago, y ofrecer acuerdos de pago.</t>
  </si>
  <si>
    <t>Plan de Recuperación de Cartera
Base de datos con gestión de contacto telefónico - Taquilla.
Comunicaciones escritas enviadas al domicilio del deudor.
Acuerdos de Pago</t>
  </si>
  <si>
    <t>2. Dificultad para la localizar el deudor.</t>
  </si>
  <si>
    <t>El responsable de la Cartera Hipotecaria verifica en el sistema de información SIFI y en el expediente físico del deudor, información de contacto para su localización y posterior envío de comunicación informando el estado de la obligación.</t>
  </si>
  <si>
    <t>comunicación informando el estado de la obligación.</t>
  </si>
  <si>
    <t>El responsable de la Cartera Hipotecaria solicita a las demas subdirecciones un cruce de información con las bases de datos del sisben y/o VUR (Valor Unico Reparación de Víctimas) con el fin de actualizar los datos de contacto de los deudores</t>
  </si>
  <si>
    <t>Base de datos de deudores actualizada con infcormación de las bases de datos del Sisben y/o VUR</t>
  </si>
  <si>
    <t>3. Incumplimientos en los acuerdos de pago.</t>
  </si>
  <si>
    <t>El responsable de la Cartera Hipotecaria de manera mensual identifica los pagos correspondientes a los acuerdo de pago. Aquellos acuerdos que se incumplen por parte de los deudores, no se realiza el descuento de intereses aprobado. Estos se reportan en el boletín de deudores morosos del Estado. Procede el inicio de cobro jurídico, para lo cual se informa a la subdirección jurídica de la entidad.</t>
  </si>
  <si>
    <t>Boletín de Deudores Morosos (BDME).
Comunicación de deudores a la Subdirección Jurídica</t>
  </si>
  <si>
    <t>4. No es posible identificar el pagador en las consignaciones realizadas para aplicar el pago a las obligaciones</t>
  </si>
  <si>
    <t>El responsable de la Cartera Hipotecaria identifica las consignaciones con información incompleta o errónea de identificación del pagador en el informe de los movimientos bancarios. Con base en esto, se procede a comparar la información identificada con la existente en la base de datos de deudores, con el fin de encontrar y aplicar correctamente el pago.</t>
  </si>
  <si>
    <t>informe de los movimientos bancarios
Base de datos de deudores
Informe de recaudo de cartera con aplicación de pagos.</t>
  </si>
  <si>
    <t>5. No se utilizan medios judiciales / procedimiento de cobro coactivo para el cobro de aquellas obligaciones  que son notificadas por la subdirección administrativa y financiera a la sudirección jurídica para el inicio del procedimiento correspondiente</t>
  </si>
  <si>
    <t>El Subdirector Jurídico o a quien este delegue valida la información las obligaciones notificadas por la Subdirección Administrativa y Financiera y de ser procedente inicia el medio judicial / procedimiento de cobro coactivo según se defina, de acuerdo a la normatividad de conformidad con el mamual de cartera institucional.</t>
  </si>
  <si>
    <t>documentato</t>
  </si>
  <si>
    <t>continua</t>
  </si>
  <si>
    <t xml:space="preserve">Correo electrónico / Memorando de la Subdirección Administrativa y Financiera notificando obligaciones para el inicio de medio judicial / procedimiento de cobro coactivo.
Mandamientos de pago (Cobro Activo)
Demandas (medios judiciales)
</t>
  </si>
  <si>
    <t xml:space="preserve">6. Falta de seguimiento a los procesos ejecutivos / cobros coactivos para la recuperación de cartera hipotecaria. </t>
  </si>
  <si>
    <t>La subdirección Administrativa y Fianciera y la Subdirección Juridica establecen de manera conjunta una base de datos con las obligaciones notificadas en donde se establece el estado de cada proceso .
El profesional jurídico delegado, realiza seguimiento al estado de las obligaciones.</t>
  </si>
  <si>
    <t>Base de datos de cartera con columna de seguimiento.</t>
  </si>
  <si>
    <t xml:space="preserve">7. Prescripción de los procesos ejecutivos / cobros coactivos para la recuperación de cartera hipotecaria. </t>
  </si>
  <si>
    <t>La subdirección Jurídica incluye en la base de datos de cartera la fecha de la prescripción de los proceso ejecitivos / cobros coactivos, para efectos de segumiento periódico.</t>
  </si>
  <si>
    <t>Base de datos de cartera con columna de fecha de prescripción</t>
  </si>
  <si>
    <t>GF33</t>
  </si>
  <si>
    <t>reflejada en  
-Incumplimiento de la meta mensual de recaudo
-Dismunución en la disponbilidad de recursos para gastos de funcionamiento de la entidad.</t>
  </si>
  <si>
    <t>debido a que la cartera &lt;=6 cuotas acumule cuotas vencidas y por lo tanto se incremente</t>
  </si>
  <si>
    <t>Posibilidad de afectación económica y reputacional reflejada en el incumplimiento de la meta mensual de recaudo, asi como de a dismunución en la disponbilidad de recursos para gastos de funcionamiento de la entidad, debido a que la cartera &lt;=6 cuotas acumule cuotas vencidas y por lo tanto se incremente.</t>
  </si>
  <si>
    <t>1. No es posible la entrega de la factura al deudor</t>
  </si>
  <si>
    <t>El responsable de la Cartera Hipotecaria realiza la actualización periódica de datos de contacto de los deudores, cuando estos se acercan a las instalaciones de la Entidad.</t>
  </si>
  <si>
    <t>Anotación en el sistema SIFI de la actualización de los datos.
Sistema Teseo (Administración de Cartera)</t>
  </si>
  <si>
    <t>2. No se activa el cobro persuasivo</t>
  </si>
  <si>
    <t>El responsable de la Cartera Hipotecaria envía un oficio de circularización de cartera con la facturación del mes con el fin de que los deudores se dirijan a la Entidad a realizar un acuerdo de pago. Adicionalmente se pueden emplear otros medios como llamadas telefónicas,  comunicaciones escritas y/o a través de medios electrónicos, de acuerdo a los lineamiento del Manual de Cartera vigente.</t>
  </si>
  <si>
    <t xml:space="preserve">Oficio de circularización de cartera, Anotación en el sistema SIFI de la llamada telefónica. </t>
  </si>
  <si>
    <t>3. Falta de recursos de los deudores.</t>
  </si>
  <si>
    <t>3.1</t>
  </si>
  <si>
    <t xml:space="preserve">El responsable de la Cartera Hipotecaria envía un oficio de circularización de cartera con la facturación del mes con el fin de que estos se dirijan a la Entidad a realizar un acuerdo de pago. </t>
  </si>
  <si>
    <t>Oficio de circularización de cartera</t>
  </si>
  <si>
    <t>3.2</t>
  </si>
  <si>
    <t>El responsable de la Cartera Hipotecaria brinda opciones de refinanciación al deudor que solicita realizar un acuerdo de pago, para lo cual utilizar presenta ante el Comité de Cartera la respectiva solicitud.</t>
  </si>
  <si>
    <t>Formato acuerdo de pago diligenciado.
Acta de Comité de Cartera</t>
  </si>
  <si>
    <t>4. No se realiza seguimiento periódico a la cartera &lt;4 cuotas</t>
  </si>
  <si>
    <t>base de datos con edades de cartera
Anotación en el sistema SIFI de los mecanismos de contacto con los deudores.</t>
  </si>
  <si>
    <t>5. No es posible identificar el pagador en las consignaciones realizadas para aplicar el pago a las obligaciones.</t>
  </si>
  <si>
    <t>GF20</t>
  </si>
  <si>
    <t>Lograr que el 100% de los documentos que soportan hechos económicos sean entregados a Contabilidad dentro del tiempo establecido
lograr un 100% de cumplimiento en la Elaboración y certificación de los estados financieros de manera trimestral.</t>
  </si>
  <si>
    <t>Contabilidad</t>
  </si>
  <si>
    <t xml:space="preserve"> Posibilidad de afectación económica y  reputacional del Instituto</t>
  </si>
  <si>
    <t>reflejada en: 
- Insatisfacción de la alta dirección por no contar con información contable que revele la realidad económica de la entidad, y necesaria para efectos de control, toma de decisiones y rendición de cuentas.
- Hallazgos, multas y sanciones por parte de los entes de control.
- Informes contables y financieros con dictamen negativo o con salvedades por parte de la Contraloría General de Medellín.</t>
  </si>
  <si>
    <t>debido a que la información financiera generada por la entidad no cumple con las características de oportunidad, relevancia, y representación fiel de que trata el Régimen de Contabilidad Pública.</t>
  </si>
  <si>
    <t>Posibilidad de afectación reputacional del Instituto reflejada en la  insatisfacción de la alta dirección por no contar con información contable que revele la realidad económica de la entidad, y necesaria para efectos de control, toma de decisiones y rendición de cuentas, en  hallazgos y sanciones por parte de los entes de control, así como en informes contables y financieros con dictamen negativo o con salvedades por parte de la Contraloría General de Medellín. Lo anterior debido a que la información financiera generada por la entidad no cumple con las características de relevancia y representación fiel de que trata el Régimen de Contabilidad Pública.</t>
  </si>
  <si>
    <t>1. los hechos económicos generados en la entidad no se incluyen en
el proceso contable.</t>
  </si>
  <si>
    <t>Muy Alta</t>
  </si>
  <si>
    <t>1.1..</t>
  </si>
  <si>
    <t>El profesional contable asignado realiza la comparación de los saldos registrados contablemente y los compara con los saldos que reposen en los documentos soporte que corresponda a cada conciliación. En el caso de bancos el extracto bancario de la cuenta, para fideicomisos, encargos fiduciarios y convenios, los correspondientes extractos e informes financieros resumen. Cuando se identifican diferencias se realiza el análisis de causa y origen, y se procede al registro del hecho contable con base en los documentos soporte.</t>
  </si>
  <si>
    <t>Registro de conciliaciones y soportes</t>
  </si>
  <si>
    <t>Incluir dentro de la documentación del SGC el formato de conciliación de fiducias.
Evaluar la posibilidad de incluir dentro de programa de capacitación temas tales como: Actualización de impuestos, manejo del aplicativo contable. 
Para el contador manejo del aplicativo de nomina, tesorería.</t>
  </si>
  <si>
    <t xml:space="preserve">Al inicio de cada mes se elabora un calendario de recepción límite de facturas con el objetivo de garantizar que todos los hechos económicos generados en el respectivo período sean reportados para su causación contable. </t>
  </si>
  <si>
    <t>Calendario Mensual de recepción de facturas.
Comunicación masiva al personal de Isvimed.</t>
  </si>
  <si>
    <t>2. Los hechos económicos generados en la entidad, siendo incluidos en el proceso contable, no cumplen con los criterios de reconocimiento,
medición, revelación y presentación dispuestos en el Régimen de Contabilidad Pública</t>
  </si>
  <si>
    <t>2.1.</t>
  </si>
  <si>
    <t>El profesional contable asignado registra los hechos económicos de forma fidedigna de acuerdo a la información contenida en los documentos que los soportan, verificando que los mismos cumplan los requisitos de ley y que sea registrados en el período en el que fueron generados. El contador verifica que la afectación contable de la cuentas haya sido la correcta.</t>
  </si>
  <si>
    <t>Solicitud de Pago con soportes.
Orden de Pago.
Evidencias del registro inicial y de autorización / rechazo en el sistema.</t>
  </si>
  <si>
    <t>2.2.</t>
  </si>
  <si>
    <t>El profesional contable asignado, presenta informe de las actividades que generan impuestos, para lo cual descarga el auxiliar del SICOF y organiza la información de acuerdo a los requerimientos que exija el ente de control para su presentación (impuestos municipales y nacionales). El contador verifica que se hayan incluido todos los hechos económicos del período, las bases gravables, las tarifas y que como resultado el valor a pagar sea el correcto.</t>
  </si>
  <si>
    <t>Verificaciones y correcciones en archivos soporte de presentación de impuestos por parte del Contador</t>
  </si>
  <si>
    <t>2.3.</t>
  </si>
  <si>
    <t>El contador verifica que los informes contables se presenten en las fechas establecidas a los entes de control que los solicitan, y que cumplan los requisitos legales para cada tipo de informe (estado de situación financiera, estado de resultados, estado de cambios en el patrimonio, estado de flujo de efectivo).
Los informes se remiten a la Subdirección Administrativa y financiera para revisión y aprobación.</t>
  </si>
  <si>
    <t>Informes contables con firmas de revisión y aprobación.
Calendario de presentación de informes.</t>
  </si>
  <si>
    <t>En caso de materialización del riesgo por presentarse hallazgos por parte de los entes de control,  y/o dictamen negativo o con salvedades por parte de la Contraloría General de Medellín con respecto a los informes financieros y contables presentados por el Isvimed, el profesional contable asignado, llevara a cabo una validación entre la información generada y lo que reposa en el sistema de información SICOF, a fin de hacer los ajustes necesarios en caso de que asi se requiera, y poder presentar nuevamente la información que cumpla con las caracterísiticas de oportunidad, relevancia, y representación fiel de que trata el Régimen de Contabilidad Pública.
Asi mismo, frente a los hallazgos reportados por el Ente de Control,se elabora y presenta el Plan de Mejoramiento respectivo.</t>
  </si>
  <si>
    <t>Comprobantes de ajustes (CA)
Informes Contables y financieros Ajustados (revelaciones a los estados financieros)
Plan de Mejoramiento del Ente de Control y evidencias de ejecución y seguimiento.</t>
  </si>
  <si>
    <t>GF26</t>
  </si>
  <si>
    <t>Lograr que el 100% de los documentos que soportan hechos económicos sean entregados a Contabilidad dentro del tiempo establecido</t>
  </si>
  <si>
    <t>Posiblidad de afectación económica y reputacional</t>
  </si>
  <si>
    <t xml:space="preserve">por pago de intereses moratorios
por PQRSD de proveedores que expresan su incorformidad relacionada con el no pago o devolución de facturas.
</t>
  </si>
  <si>
    <t>debido a que  los documentos que soportan hechos económicos no son entregados a Contabilidad dentro del tiempo establecido para su causación</t>
  </si>
  <si>
    <t>Posibilidad de afectación economica y reputacional, por pago de intereses moratorios, sanciones tributarias de la DIAN y el Distrito de Medellín,, asi como por PQRSD de proveedores que expresan su incorformidad relacionada con el no pago o devolución de facturas. Lo anterior, debido a que  los documentos que soportan hechos económicos no son entregados a Contabilidad dentro del tiempo establecido para su causación.</t>
  </si>
  <si>
    <t>Falta de seguimiento por parte de los funcionarios que autorizan pagos para la consolidación de la información requerida para causar.</t>
  </si>
  <si>
    <t>El equipo contable revisa los soportes entregados por las diferentes subdirecciones para su causación. Cada factura debe incluir orden de pago, factura o cuenta de cobro, informe de supervisión, certificado de pago de parafiscales, poliza y acta de inicio, rubro presupuestal a afectar, entre otros.</t>
  </si>
  <si>
    <t>manual</t>
  </si>
  <si>
    <t>Facturas devueltas o acepatadas para causación.</t>
  </si>
  <si>
    <t>Actualizar el procedimiento para pagos, que detalle los requisitos para recepción y causación de facturas</t>
  </si>
  <si>
    <t>Incumplimiento del cronograma de cierre financiero mensual por parte de las depedencias y proveedores.</t>
  </si>
  <si>
    <t>El profesional contable, la primera semana de cada mes, envia un correo masivo con el cronograma de cierre financiero a todas las dependencias.
Los supervisores verifican los términos establecidos en el cronograma y coordinan si es aplicable con los proveedores para el cumplimiento del mismo</t>
  </si>
  <si>
    <t>Correo masivo con el cronograma de cierre financiero a todas las dependencias del Instituto</t>
  </si>
  <si>
    <t>Realizar capacitación a los funcionarios que autorizan pagos sobre los soportes y plazos requeridos para su entrega  a Contabilidad</t>
  </si>
  <si>
    <t>Desconocimiento de cuáles son los documentos que soportan el pago por parte de los funcionarios responsables.</t>
  </si>
  <si>
    <t>El profesional contable asesora a los funcionarios responsables de presentar cuentas de cobro sobre los requistios para causarlas. Lo anterior a necesidad.</t>
  </si>
  <si>
    <r>
      <rPr>
        <sz val="11"/>
        <color rgb="FF000000"/>
        <rFont val="Arial Narrow"/>
        <family val="2"/>
      </rPr>
      <t xml:space="preserve">En caso de que se entreguen facturas por fuera del cronograma de cierre financiero, no son recibidas para su causación y pago.
</t>
    </r>
    <r>
      <rPr>
        <sz val="11"/>
        <rFont val="Arial Narrow"/>
        <family val="2"/>
      </rPr>
      <t>En el caso de que se generen intereses moratorios, el funcionario responsable de su presentación oportuna a Contabilidad, debe asumir este costo y presentar el respectivo soporte de pago a Tesorería.</t>
    </r>
  </si>
  <si>
    <t>Soportes de pago de intereses moratorios</t>
  </si>
  <si>
    <t>GF27</t>
  </si>
  <si>
    <t xml:space="preserve">lograr un 100% de cumplimiento en la Elaboración y certificación de los estados financieros de manera trimestral. </t>
  </si>
  <si>
    <t>Posiblidad de afectación reputacional</t>
  </si>
  <si>
    <t xml:space="preserve"> -Insatisfacción de la alta dirección por no contar con información contable oportuna y necesaria para efectos de control, toma de decisiones y rendición de cuentas.
-Hallazgos por parte de los entes de control.</t>
  </si>
  <si>
    <t>debido a que no se cumpla con la elaboración, certificación y publicación de los estados financieros de manera trimestral</t>
  </si>
  <si>
    <t>Posiblidad de afectación reputacional reflejada en la insatisfacción de la alta dirección por no contar con información contable oportuna y necesaria para efectos de control, toma de decisiones y rendición de cuentas así como por hallazgos o sanciones por parte de los entes de control. lo anterior, debido  a que no se cumpla con la elaboración, certificación y publicación de los estados financieros de manera trimestral.</t>
  </si>
  <si>
    <t>1. Las dependencias no remiten la documentación según lineamientos y términos establecidos en el cronograma financiero mensual.</t>
  </si>
  <si>
    <t>Baja</t>
  </si>
  <si>
    <t>1.1</t>
  </si>
  <si>
    <t>El equipo contable valida que los documentos se entreguen  dentro del cronograma de cierre financiero, de lo contrario no son recibidos para su reporte y por lo tanto no se verán reflejados en los estados financieros.</t>
  </si>
  <si>
    <t>1.2</t>
  </si>
  <si>
    <t>El profesional contable, la primera semana de cada mes, envia un correo masivo con el cronograma de cierre financiero a todas las dependencias.</t>
  </si>
  <si>
    <t>2. El aplicativo CHIP presenta fallas.</t>
  </si>
  <si>
    <t>El profesional contable verifica que la presentación de los informes se realice antes de la fecha limite de presentación del reporte.</t>
  </si>
  <si>
    <t xml:space="preserve">Registro de aceptación de la publicacion </t>
  </si>
  <si>
    <t xml:space="preserve">En caso de materialización del riesgo, el profesional contable elabora y presenta de manera extemporanea los estados financieros, cumpliendo con el plan de mejoramiento sobre hallazgos del ente de control , asi ccomo el pago de intereses moratorios si a ellos hubiere lugar. </t>
  </si>
  <si>
    <t>soportes de presentación de los informes de manera extemporánea y soportes de pago de intereses moratorios</t>
  </si>
  <si>
    <t>GF28</t>
  </si>
  <si>
    <t xml:space="preserve">Disminuir a 0 las diferencias entre la información contable prensentada a la CGN a través del CHIP y la del sistema de información contable de la entidad, en cada trimestre. </t>
  </si>
  <si>
    <t>* Insatisfacción de la alta dirección por no contar con información contable precisa para efectos de control, toma de decisiones y rendición de cuentas.
*Hallazgos por parte de los entes de control.</t>
  </si>
  <si>
    <t>debido a que existan diferencias entre la información contable prensentada a la CGN a través del CHIP y la del sistema de información contable de la entidad.</t>
  </si>
  <si>
    <t>Posiblidad de afectación reputacional reflejada en insatisfacción de la alta dirección por no contar con información contable precisa para efectos de control, toma de decisiones y rendición de cuentas así como hallazgos por parte de los entes de control, debido a que existan diferencias entre la información contable prensentada a la CGN a través del CHIP y la del sistema de información contable de la entidad.</t>
  </si>
  <si>
    <t xml:space="preserve"> 
Desactualización en el sistema de información contable de las modificaciones emitidas por la CGN en cuanto a denominación de cuentas contables. </t>
  </si>
  <si>
    <t>El profesional contable revisa y valida las denominaciones y actualizaciones de las cuentas convergentes hechas por la CGN para reportar oportunamente la información contable. Lo anterior se realiza de manera trimestral a través del PUC de la CGN.</t>
  </si>
  <si>
    <t>Reporte CHIP de información contable.</t>
  </si>
  <si>
    <t>baja</t>
  </si>
  <si>
    <t>MODERADO</t>
  </si>
  <si>
    <t xml:space="preserve">Errores manuales en la generación del archivo plano del sistema de información contable para cargarlo en el CHIP. 
  </t>
  </si>
  <si>
    <t>El profesional contable valida si el sistema CHIP  está detectando algún tipo de error para ser corregido en el momento de trasmitir la información contable, por está razón el profesional contable controla este reporte se suba minimo una semana antes.</t>
  </si>
  <si>
    <t>En caso de materialización del riesgo, la CGN envia correos electrónicos informando los valores incorrectos que deben ser saneados oportunamente, adicionalmente lo envian con copia a la dirección y a los responsables de la información con el fin de que estos esten al tanto de lo que sucede.</t>
  </si>
  <si>
    <t>Reporte CHIP de información contable corregido</t>
  </si>
  <si>
    <t>GF29</t>
  </si>
  <si>
    <t xml:space="preserve">lograr el 100% de cumplimiento del cronograma de pago de impuestos. 
  </t>
  </si>
  <si>
    <t>Multas y sanciones por parte de la DIAN y el Distrito de Medellín.
 Hallazgos de los Entes de Control.</t>
  </si>
  <si>
    <t>debido a que no se cumpla el cronograma de pago de impuestos.</t>
  </si>
  <si>
    <t>Posiblidad de afectación económica y reputacional, reflejada en multas y sanciones por parte de la DIAN y el Distrito de Medellín así como por hallazgos de los Entes de Control, debido a que no se cumpla el cronograma de pago de impuestos.</t>
  </si>
  <si>
    <t>Incumplimiento en la recepción de facturas de acuerdo al cronograma financiero.</t>
  </si>
  <si>
    <t xml:space="preserve">El equipo contable valida constantemente la llegada de facturas con el fin de que estas sean causadas dentro del cronograma financiero, en caso de que lleguen fuera del calendario son devueltas al supervisor quien debe encargarse de modificar la fecha con el proveedor para ser enviada nuevamente a contabilidad. </t>
  </si>
  <si>
    <r>
      <rPr>
        <sz val="11"/>
        <color rgb="FF000000"/>
        <rFont val="Arial Narrow"/>
        <family val="2"/>
      </rPr>
      <t>Correo</t>
    </r>
    <r>
      <rPr>
        <b/>
        <i/>
        <sz val="11"/>
        <color rgb="FF000000"/>
        <rFont val="Arial Narrow"/>
        <family val="2"/>
      </rPr>
      <t xml:space="preserve"> recepcion.facturas@isvimed.gov.co </t>
    </r>
    <r>
      <rPr>
        <sz val="11"/>
        <color rgb="FF000000"/>
        <rFont val="Arial Narrow"/>
        <family val="2"/>
      </rPr>
      <t>con la devolución de las facturas que no se envian dentro del cronograma financiero.</t>
    </r>
  </si>
  <si>
    <t xml:space="preserve">Cálculo erróneo de los impuestos de acuerdo a los lineamientos establecidos en los estatutos tributarios nacional y territorial. </t>
  </si>
  <si>
    <t>El equipo contable  revisa de manera exaustiva las retenciones que aplica a cada una de las facturas que envian a la entidad inmediatamnete llega la factura, el profesional de apoyo valida durante la causación y el contador aprueba, por lo que se tienen dos filtros para la actividad.</t>
  </si>
  <si>
    <t>Factura  con la retención aplicada y sus respectivos soportes cumpliendo la tabla de retención en la fuente vigente</t>
  </si>
  <si>
    <t>Errores en el diligenciamiento de los formularios para la presentación de impuestos.</t>
  </si>
  <si>
    <t>El contador revisa el formulario diligenciado y valida que esté conforme a las cuentas contables.</t>
  </si>
  <si>
    <t>Correo con el historial de las retenciones, el cual contiene la confirmación de la revisión de el equipo contable.</t>
  </si>
  <si>
    <t>Diligenciamiento inoportuno de los formularios para la presentación de impuestos.</t>
  </si>
  <si>
    <t xml:space="preserve">El equipo contable diligencia el formulario de acuerdo con el cronograma establecido que contiene las fechas de vencimiento y cumplimiento, estos estan completamente diligenciados dos días antes según lineamientos de la CGN. </t>
  </si>
  <si>
    <t>Correos que evidencian el diligenciamiento del formulario, las revisiones, fechas, aprobaciones y todos los soportes relacionados.</t>
  </si>
  <si>
    <t xml:space="preserve">Pago inoportuno por parte de la tesorería. </t>
  </si>
  <si>
    <t>El área contable envía el recibo de pago de los impuestos  a Tesoreria con el fin de que ellos cumplan con el pago de acuerdo con el cronogrma financiero y tributario.</t>
  </si>
  <si>
    <t>Archivos generados y soportes enviados por medio de correos electrónicos o de manera fisica a Tesorería.</t>
  </si>
  <si>
    <t>Los responsbales del incumplimiento del pago de impuestos, pagan las multas y sanciones por parte de la DIAN y el Distrito de Medellín y subsanan los hallazgos de los Entes de Control.</t>
  </si>
  <si>
    <t>Soportes de pago de la multa por parte de los responsbales del incumplimiento del pago de impuestos y plan de acción derivado de los hallazgos de los Entes de Control.</t>
  </si>
  <si>
    <t>GF22</t>
  </si>
  <si>
    <t>Todas las líneas de acción - 
Rendición de Informes de Ley</t>
  </si>
  <si>
    <t>Posibilidad de afectación económica del Instituto</t>
  </si>
  <si>
    <t>por multas y sanciones aplicadas por los entes de control</t>
  </si>
  <si>
    <t>debido a la no rendición y/o rendición extemporánea de informes de ley.</t>
  </si>
  <si>
    <t>Posibilidad de afectación económica del Instituto por multas y sanciones aplicadas por los entes de control, debido a la no rendición y/o rendición extemporánea de informes de ley.</t>
  </si>
  <si>
    <t>1. No se ha definido un mecanismo de control que relacione los informes que deben a ser rendidos por el proceso de gestión financiera,  con sus respectivos responsables, fechas de presentación y seguimiento, y que genere las respectivas alertas a los diferentes responsables.</t>
  </si>
  <si>
    <t xml:space="preserve">El líder de línea de acción y el Subdirector Administrativo y Financiero identifica rendición extemporánea de informes a través de las multas, sanciones y hallazgos notificados por los Entes de Control.
Frente a los hallazgos de los entes de control se deben establecer los planes de mejoramiento respectivos y reportar avance trimestral. </t>
  </si>
  <si>
    <t>Planes de mejoramiento presentados a los entes de control</t>
  </si>
  <si>
    <t>Elaborar instrumento a través del cual se identifiquen los informes de ley que deben ser rendidos a las instancias internas y externas por parte de las líneas de acción pertenecientes a la Subdirección Administrativa y Financiera. En este instrumento se identificarán las fechas y frecuencias de rendición, responsables y se evidenciará el respectivo seguimiento. Este instrumento debe generar las alertas del caso.</t>
  </si>
  <si>
    <t>El líder de la línea de Contabilidad verifica el cumplimiento del cronograma de declaración de impuestos, el cual fue incluido en la agenda institucional para efectos de que se generen alertas automáticas.
Para el resto de informes que debe rendir la Subdirección Administrativa y Financiera, el procedimiento para la solicitud de información y rendición de informes a los usuarios internos y externos, P-GF-03, relaciona cada informe de Ley con los tiempos y responsables. Los líderes de línea verifican de manera periódica el cumplimiento en la rendición de informes conforme a lo establecido en el procedimiento</t>
  </si>
  <si>
    <t>Automático</t>
  </si>
  <si>
    <t>Cronograma de declaración de impuestos.
Registros de Declaración de Impuestos.
Memorandos de rendición de informes.
Certificado de envío de información expedido a través de las plataformas</t>
  </si>
  <si>
    <t>Revisar el Procedimiento para la solicitud de información y rendición de informes a los usuarios internos y externos, P-GF-03, con el fin de realizar los ajustes que sean necesarios con respectos a los informes de ley de la Subdirección Administrativa y Financiera, los responsables y las fechas de rendición. Gestionar su socialización.</t>
  </si>
  <si>
    <t xml:space="preserve">2. Ausencia de software y hardware que genera retrasos en la consolidación de información. (No se cuenta con aplicativo integrado para el manejo de la información.)  </t>
  </si>
  <si>
    <t>El Subdirector Administrativo y Financiero verifica que la contratación del aplicativo integrado (nomina, presupuesto, tesorería, contabilidad) se incluya dentro del Plan Anual de Adquisiciones y se realice en los tiempos establecidos.</t>
  </si>
  <si>
    <t>Plan Anual de Adquisiciones
Minuta del Contrato</t>
  </si>
  <si>
    <t>En el caso de cambio del proveedor del aplicativo del proceso financiero, coordinar la migración adecuada y oportuna de la información.</t>
  </si>
  <si>
    <t>3. Demora en la entrega de información por parte de los procesos del Instituto al área financiera</t>
  </si>
  <si>
    <t>Los lideres de las líneas de acción del proceso financiero proyectan cronogramas de cierre financiero informando las fechas en las que las áreas que producen información contable la deben entregar.</t>
  </si>
  <si>
    <t>Cronograma de cierre financiero
Correo masivo y boletín institucional</t>
  </si>
  <si>
    <t>4. Desarticulación de directrices con los enlaces financieros de cada proceso</t>
  </si>
  <si>
    <t>No existe medida de control</t>
  </si>
  <si>
    <t>Establecer requisitos de información que deben ser entregados por parte de los enlaces financieros en cada dependencia, con el objetivo de consolidar información correcta y oportuna para la elaboración de informes de ley.</t>
  </si>
  <si>
    <t>GF23</t>
  </si>
  <si>
    <t>Presupuesto</t>
  </si>
  <si>
    <t>por mal desempeño institucional derivado del incumplimiento de metas relacionadas con el Plan de Desarrollo Municipal a cargo del Instituto, así como por sanciones económicas, disciplinarias y/o penales por parte de los entes de control</t>
  </si>
  <si>
    <t>debido a una asignación presupuestal errónea, que incumple los parámetros legales y contractuales establecidos.</t>
  </si>
  <si>
    <t>Posibilidad de afectación económica y reputacional, por mal desempeño institucional derivado del incumplimiento de metas relacionadas con el Plan de Desarrollo Municipal a cargo del Instituto, así como por sanciones económicas, disciplinarias y/o penales por parte de los entes de control. Lo anterior debido a una asignación presupuestal errónea, que incumple los parámetros legales y contractuales establecidos</t>
  </si>
  <si>
    <t>El profesional universitario de apoyo a presupuesto valida que la asignación presupuestal esté conforme a la normativa y a la proyección presupuestal (presupuesto de funcionamiento e inversión de cada vigencia).
Una vez detectada una imputación presupuestal errónea, se notifica al Subdirector Administrativo y financiero para gestionar las aprobaciones que permitan corregir la imputación.</t>
  </si>
  <si>
    <t>Correo electrónico informando errores en la imputación presupuestal.
Aprobación de la corrección presupuestal a través de memorando</t>
  </si>
  <si>
    <t>Realizar revisión a las metodologías documentadas en el Sistema de Gestión de Calidad para la planificación y ejecución presupuestal, que se encuentren vigentes de acuerdo a la normatividad aplicable y los lineamientos internos del Instituto</t>
  </si>
  <si>
    <t>1. Desconocimiento y desactualización de la normativa presupuestal</t>
  </si>
  <si>
    <t xml:space="preserve">El Subdirector Administrativo y Financiero establece los requisitos de idoneidad y experiencia para los profesionales que apoyaran la gestión presupuestal del instituto, a través del estudio previo durante la etapa de la planeación contractual. .El Subdirector Administrativo y Financiero verifica el cumplimiento de los requisitos de idoneidad y experiencia del personal a contratar definido en el estudio previo, para lo cual utiliza el formato Certificado de estudio de idoneidad y experiencia para contratos de prestación de servicios personales y de apoyo a la gestión, y lo firma en consecuencia.
Documentado en: M-GJ-01 - MANUAL DE CONTRATACION
</t>
  </si>
  <si>
    <t>Estudio previo
Certificado de estudio de idoneidad y experiencia para contratos de prestación de servicios personales
Minuta de Contrato</t>
  </si>
  <si>
    <t>El profesional universitario de apoyo a presupuesto establece las metodologías para la adecuada planeación y ejecución presupuestal, en alineación con la normatividad aplicable en la materia. Así mismo gestiona la aprobación y publicación de las metodologías en el módulo de calidad de SIFI. Este material sirve como base para el entrenamiento del personal de apoyo.</t>
  </si>
  <si>
    <t>Publicación de metodologías para la planeación y ejecución presupuestal en SIFI
Registros de asistencia de entrenamiento</t>
  </si>
  <si>
    <t>1.3.</t>
  </si>
  <si>
    <t>El profesional universitario de apoyo a presupuesto realiza verificación permanente a la actualización normativa, para lo cual revisa las paginas web de  las entidades que establecen lineamiento en materia presupuestal tales como el Ministerio de Hacienda, la Contaduría General de la Nación, la Contraloría General de la Republica, entre otras.</t>
  </si>
  <si>
    <t>Registros de asistencia de cursos virtuales
Documentación de la normatividad presupuestal</t>
  </si>
  <si>
    <t>2. No se realizan validaciones contra POAI (Plan Operativo Anual de Inversiones), PAA (Plan Anual Adquisiciones), PAC (Programa Anual Mensualizado de Caja) con relación a la solicitud de disponibilidad presuupestal.</t>
  </si>
  <si>
    <t>El profesional universitario de apoyo a presupuesto valida las necesidades que serán presentadas en la mesa interdisciplinaria. En esta validación se revisa la asignación del recurso, la posición en el plan anual de adquisiciones y disponibilidad del recurso con base en el PAC.</t>
  </si>
  <si>
    <t>Correo electrónico con observaciones a las necesidades validadas
Actas de la mesa interdisciplinaria</t>
  </si>
  <si>
    <t>3. Cambios no planificados en el presupuesto por decisiones de la Alta Dirección</t>
  </si>
  <si>
    <t>GF24</t>
  </si>
  <si>
    <t>Elaborar y enviar de manera mensual a la alta dirección, los memorandos con información del estado de la  ejecución presupuestalde ingresos y gastos (ejecución, compromisos y pagos)</t>
  </si>
  <si>
    <t>Posibilidad de afectación economica y reputacional</t>
  </si>
  <si>
    <t>Por baja ejecución presupuestal que podría conllevar a una reducción del presupuesto inicialmente asignado y/o una congelación o no giro de la transferencias distritales.
Por requerimientos del Distrito, el Consejo Distrital y/o entes de control derivados del
incumplimiento de metas de Plan de Desarrollo.
Por requerimientos por parte de la comunidad en relación con el incumplimiento en la prestación de serviciós del Instituto.
Por requerimientos por parte de los contratistas en relación con el incumpliiento de las obligaciones contractuales a cargo del Instituto.</t>
  </si>
  <si>
    <t>debido a que no se generen alertas oportunas por parte del area de Presupuesto con relación a la ejecución presupuestal</t>
  </si>
  <si>
    <t xml:space="preserve">Posibilidad de afectación economica y reputacional reflejada en: 
1. baja ejecución presupuestal que podría conllevar a unareducción del presupuesto inicialmente asignado y/o  congelación o no giro de la transferencias distritales. 2. requerimientos del Distrito, el Consejo Distrital y/o entes de control derivados del
incumplimiento de metas de Plan de Desarrollo. 3. requerimientos por parte de la comunidad en relación con el incumplimiento en la prestación de los serviciós del Instituto y 4 requerimientos por parte de los contratistas en relación con el incumplimiento de las obligaciones contractuales a cargo del Instituto.
Lo anterior, debido a que no se generen alertas oportunas por parte del area de Presupuesto con relación a la ejecución presupuestal. </t>
  </si>
  <si>
    <t>1. No se realiza seguimiento a la ejecución presupuestal de ingresos y gastos por parte del area de presupuesto</t>
  </si>
  <si>
    <t>EL profesional de presupuesto elabora el informe mensual de ejecución presupuestal de ingresos y gastos de manera acumulada. En este se identifican aquellos rubros con ejecución baja.
Este insumo se envía al equipo directivo a través de memorando.</t>
  </si>
  <si>
    <t>Memorando con anexo Informe de ejecución presupuestal</t>
  </si>
  <si>
    <t>2. No se socializa el seguimiento a la ejecución presupuestal de ingresos y gastos al Equipo Directivo del Instituto de manera oportuna.</t>
  </si>
  <si>
    <r>
      <t xml:space="preserve">El profesional de presupuesto con base en el Informe de ejecución presupuestal de gastos e ingresos valida  y genera las alertas relacionadas con los siguientes rubros: PAC -  recaudos efectivos sin pagos realizados, saldo disponible que se tiene y no se ha ejecutado, saldos en disponibilidades sin comprometer, cobro y ejecución de recursos asociados a convenios interadministrativos.
Esta información se expone en el Comité Financiero para que el equipo directivo tome las decisiones pertinentes con el propósito de mejorar la ejecución presupuestal del Instituto.
</t>
    </r>
    <r>
      <rPr>
        <b/>
        <sz val="11"/>
        <color theme="1"/>
        <rFont val="Arial Narrow"/>
        <family val="2"/>
      </rPr>
      <t>Nota:</t>
    </r>
    <r>
      <rPr>
        <sz val="11"/>
        <color theme="1"/>
        <rFont val="Arial Narrow"/>
        <family val="2"/>
      </rPr>
      <t xml:space="preserve"> el Comité Financiero se realiza de manera mensual en los términos establecidos en la resolución 276 de 2022.</t>
    </r>
  </si>
  <si>
    <t>Acta de Comité Financiero</t>
  </si>
  <si>
    <t>GF25</t>
  </si>
  <si>
    <t>Disminuir a 1 los traslados presupuestales por rubros deficitados sin justificación valida</t>
  </si>
  <si>
    <t>por incumplimiento en la ejecución presupuestal de ingresos y gastos proyectada</t>
  </si>
  <si>
    <t>Debido a la existencia de traslados presupuestales por rubros deficitados sin justificación valida</t>
  </si>
  <si>
    <t>Posiblidad de afectación reputacional por incumplimiento en la ejecución presupuestal de ingresos y gastos proyectada, debido a la existencia de traslados presupuestales por rubros deficitados sin justificación valida</t>
  </si>
  <si>
    <t>Inadecuada proyección de los rubros presupuestales por parte de la dependencias en la elaboración del anteproyecto de presupuesto.</t>
  </si>
  <si>
    <t>El area de presupuesto realiza asesoría y orientación a las diferentes dependencias para una adecuada proyección de recursos.
El profesional de presupuesto verifica en el anteproyecto que las proyecciones presupuestales proporcionadas por las dependencias hayan sido realizadas en observancia de los lineamientos del distrito, históricos de datos, variación de variables macroeconómicas como el IPC, tasas de interés, entre otras.</t>
  </si>
  <si>
    <t>Correos electrónicos con proyecciones presupuestales
Anteproyecto de presupuesto</t>
  </si>
  <si>
    <t>Por sobreejución de rubros por parte de las dependencias</t>
  </si>
  <si>
    <t>El profesional de presupuesto identifica los rubros que cuentan con disponbilidad para realizar los respectivos ajustes y traslados presupuestales, lo cuales son aprobados por la dirección e informados a la unidad de presupuesto de la Secretaría de Hacienda del distrito de Medelín y a la CDM a través de la plataforma de Gestión Transparente.</t>
  </si>
  <si>
    <t>Resoluciones de ajustes y traslados presupuestales</t>
  </si>
  <si>
    <r>
      <rPr>
        <b/>
        <sz val="11"/>
        <color theme="9" tint="-0.249977111117893"/>
        <rFont val="Arial Narrow"/>
        <family val="2"/>
      </rPr>
      <t xml:space="preserve">*Nota 1: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</si>
  <si>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</si>
  <si>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r>
      <rPr>
        <b/>
        <sz val="16"/>
        <color theme="9"/>
        <rFont val="Arial Narrow"/>
        <family val="2"/>
      </rPr>
      <t>Nota 3 (Diciembre de 2021):</t>
    </r>
    <r>
      <rPr>
        <sz val="14"/>
        <rFont val="Arial Narrow"/>
        <family val="2"/>
      </rPr>
      <t xml:space="preserve"> Para una próxima actualización de la matriz de deben desarrollar las siguientes actividades:
* Mediante correo electrónico del 15 de diciembre de 2021, la líder de la línea de Cartera Mary Tabares, solicitó incluir dentro de la matriz de riesgos del Proceso de Gestión Financiera, riesgos relacionados con el manejo de la caja menor. Lo anterior como consecuencia de la Auditoría de Austeridad en el Gasto realizada por la oficina de Control Interno.</t>
    </r>
  </si>
  <si>
    <t>CONTROL DE CAMBIOS</t>
  </si>
  <si>
    <t>Riesgo No.</t>
  </si>
  <si>
    <t>Fecha Cambio</t>
  </si>
  <si>
    <t>Descripción del cambio</t>
  </si>
  <si>
    <t>Se complementa la descripción del evento potencial principal (riesgo), en relación a la Irrecuperabilidad  de la cartera hipotecaria de aquellas obligaciones con más de 6 cuotas vencidas (&gt; 180 días).</t>
  </si>
  <si>
    <t>GF14</t>
  </si>
  <si>
    <t>Se solicita modificar el control 1.2. " El Subdirector Administrativo y Financiero verifica que la persona que desarrolla el cargo de Tesorero en Isvimed, se le proporcione la capacitación en el manejo del modulo de presupuesto del SICOF, para la revisión del PAC disponible, así como sobre las políticas de operación de tesorería (instructivo de pago). Esto se realiza en el marco de la capacitación en el puesto de trabajo al inicio de sus labores", ya que no es una medida vigente que se este desarrollando en la entidad. Reemplazar con la siguiente redacción: "Previo a la realización del pago, en el modulo de presupuesto se realiza la verificación del PAC disponible, donde el sistema valida automaticamente la disponibilidad de recursos en el rubro, y si no tiene disponibilidad no permite realizar el pago"</t>
  </si>
  <si>
    <t>Se incluye el control 2 de tipo correctivo para disminuir el impacto residual.</t>
  </si>
  <si>
    <t>Se incluye el control 0 de tipo correctivo para disminuir el impacto residual.</t>
  </si>
  <si>
    <t>Se incluye el control 3 de tipo correctivo para disminuir el impacto residual.</t>
  </si>
  <si>
    <t>GF21</t>
  </si>
  <si>
    <t xml:space="preserve">Se modificó la redacción del evento potencial intermedio 1 de la siguiente manera: “Falta de continuidad entre la finalización e inicio de los contratos de prestación de servicios profesionales y de apoyo a la gestión para la contratación del líder Contable. Bajo esta modalidad se realiza su contratación en la actualidad”. Como se encuentra redactada actualmente: “El Líder Contable no se encuentra vinculado a la planta de cargos del Instituto”, implica su materialización hasta tanto no se realice tal vinculación. el cambio en el evento potencial intermedio 1, permitió la inclusión del control No.1. </t>
  </si>
  <si>
    <t>GF15</t>
  </si>
  <si>
    <t>Como posible causal del pago inoportuno de obligaciones a terceros, se incluye el evento potencial intermedio No 3., con la siguiente redacción: "Causación inoportuna y errónea de los soportes para el pago en el software contable (Contratos de prestación de servicios y de apoyo a la gestión)." Así mismo se incluye el control No. 3 de tipo preventivo.</t>
  </si>
  <si>
    <t>Se elimina control 2, que se refiere a las gestiones que se realizan con los bancos a fin de solicitar información del depositante, toda vez que los bancos han sido enfáticos en su respuesta haciendo alusion a que la ley de habeas data no permite que sean entregados estos datos.</t>
  </si>
  <si>
    <t>Se complementa el control 2 con la siguientes redacción: Para el resto de informes que debe rendir la Subdirección Administrativa y Financiera, el procedimiento para la solicitud de información y rendición de informes a los usuarios internos y externos, P-GF-03, relaciona cada informe de Ley con los tiempos y responsables. Los líderes de línea verifican de manera periódica el cumplimiento en la rendición de informes conforme a lo establecido en el procedimiento</t>
  </si>
  <si>
    <t>Se incluye el detrimento patrimonial en  la columna E. Así mismo, se incluyen los siguientes eventos potenciales intermedios relacionados con el uso de medios judiciales para el cobro de la cartera hipotecaria: "5. No se utilizan medios judiciales para el cobro de aquellas obligaciones que cumplen los requisitos de acuerdo con lo establecido en el manual de cartera", "6. Falta de seguimiento a los procesos ejecutivos para la recuperación de cartera hipotecaria", 7. Prescripción de los procesos ejecutivos para la recuperación de cartera hipotecaria".</t>
  </si>
  <si>
    <t>Se incluye control 4 relacionado con la verificación de la situación socioeconómica del aspirante a través de la declaración juramentada de bienes y rentas.
Se incluye el control 5 relacionado con la existencia de mecanismos para la recepción de denuncias por hechos de corrupción. Lo anterior en el marco del RITA.</t>
  </si>
  <si>
    <t>Se incluye el riesgo GF24 relacionado con la posiblidad de que no se generen alertas oportunas por parte del area de Presupuesto con relación a la ejecución presupuestal Institucional</t>
  </si>
  <si>
    <t>GF23, GF24</t>
  </si>
  <si>
    <t>Se relacionan objetivos tipo SMART a los riesgos de presupuesto.</t>
  </si>
  <si>
    <t>Se incluye el riesgo GF25 relacionado con la posiblidad de que existan traslados presupuestales por rubros deficitados sin justificación valida</t>
  </si>
  <si>
    <t>Se elimina este riesgo por cuanto no se encuentra alineado con la identificación de objetivos SMART para la linea de acción de Contabilidad.</t>
  </si>
  <si>
    <t>Se incluye este riesgo derivado de la validación de matrices Vs objetivos SMART para la linea de accción de Contabilidad.</t>
  </si>
  <si>
    <t>Se elimina el riesgo relacionado con que se ordenan pagos sin verificar el efectivo recaudo del ingreso que financia la apropiación (PAC) de la linea de acción de tesorería y queda como compromiso validar si debe ser asumido por el área de presupuesto.</t>
  </si>
  <si>
    <t>Se elimina este riesgo relacionado con el pago inoportuno de terceros y se reemplazo con el riesgo de que no se de cumplimiento a los pagos con relación al PAC proyectado de gastos, toda vez que este se encuentra mas alineado a los objetivos SMART identficados (ver columna de objetivos).</t>
  </si>
  <si>
    <t>Se incluye este riesgo relacionado con la posibilidad de que no se de cumplimiento a los pagos con relación al PAC proyectado de gastos para la línea de acción de Tesorería.</t>
  </si>
  <si>
    <t>Se incluye este riesgo relacionado con la posibilidad de que no se dé cumplimiento al reintegro mensual de los rendimientos financieros con relación a la resolución 112 CODFIS para la línea de acción de Tesorería.</t>
  </si>
  <si>
    <t>Se incluye este riesgo relacionado con la posibilidad de que no se desembolsen las transferencias pactadas por parte del Distrito para la línea de acción de Tesorería.</t>
  </si>
  <si>
    <t>Se incluye este riesgo para la linea de acción de cartera relacionado con la posibilidad de que la cartera &lt;4 cuotas acumule cuotas vencidas y por lo tanto se incremente</t>
  </si>
  <si>
    <t>Se modifica este riesgo de la linea de acción de cartera. Se ajusta la naturaleza de la cartera hipotecaria que se considera como de dificil recaudo que es a partir de 4 cuotas vencidas. La nueva redacción es la siguiente: "Posibilidad de afectación económica y reputacional reflejada en la disminución de ingresos que afecta el cumplimiento de pagos, detrimento patrimonial, así como por hallazgos de los entes de control. Lo anterior, debido a la Irrecuperabilidad  de la cartera hipotecaria de aquellas obligaciones con más de 4 cuotas vencidas (&gt; 120 días)".</t>
  </si>
  <si>
    <t>Impacto</t>
  </si>
  <si>
    <t>Probabilidad</t>
  </si>
  <si>
    <t>Extremo</t>
  </si>
  <si>
    <t>Alto</t>
  </si>
  <si>
    <t>Bajo</t>
  </si>
  <si>
    <t>Tabla Criterios para definir el nivel de probabilidad Inherente</t>
  </si>
  <si>
    <t>Frecuencia de la Actividad</t>
  </si>
  <si>
    <t>Muy Baja</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</si>
  <si>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</si>
  <si>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</si>
  <si>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</si>
  <si>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</si>
  <si>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</si>
  <si>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Tabla Criterios para definir el nivel de impacto Inherente</t>
  </si>
  <si>
    <t>Descripción</t>
  </si>
  <si>
    <t>Menor</t>
  </si>
  <si>
    <t>Criterios</t>
  </si>
  <si>
    <t>Subcriterios</t>
  </si>
  <si>
    <t>Afectación Económica o presupuestal</t>
  </si>
  <si>
    <t>Afectación menor a 10 SMLMV .</t>
  </si>
  <si>
    <t xml:space="preserve">Entre 10 y 50 SMLMV </t>
  </si>
  <si>
    <t xml:space="preserve">Entre 50 y 100 SMLMV </t>
  </si>
  <si>
    <t xml:space="preserve">Entre 100 y 500 SMLMV </t>
  </si>
  <si>
    <t xml:space="preserve">Mayor a 500 SMLMV </t>
  </si>
  <si>
    <t>Pérdida Reputacional</t>
  </si>
  <si>
    <t>El riesgo afecta la imagen de alguna área de la organización</t>
  </si>
  <si>
    <t>El riesgo afecta la imagen de la entidad internamente, de conocimiento general, nivel interno, de junta dircetiva y accionistas y/o de provedores</t>
  </si>
  <si>
    <t>El riesgo afecta la imagen de la entidad con algunos usuarios de relevancia frente al logro de los objetivos</t>
  </si>
  <si>
    <t>El riesgo afecta la imagen de de la entidad con efecto publicitario sostenido a nivel de sector administrativo, nivel departamental o municipal</t>
  </si>
  <si>
    <t>El riesgo afecta la imagen de la entidad a nivel nacional, con efecto publicitarios sostenible a nivel país</t>
  </si>
  <si>
    <t>❌</t>
  </si>
  <si>
    <t>✔</t>
  </si>
  <si>
    <t>Tabla Atributos de para el diseño del control</t>
  </si>
  <si>
    <t>Características</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</si>
  <si>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</si>
  <si>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</si>
  <si>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</si>
  <si>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</si>
  <si>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</si>
  <si>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</si>
  <si>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</si>
  <si>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</si>
  <si>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</si>
  <si>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</si>
  <si>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</si>
  <si>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</si>
  <si>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</si>
  <si>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</si>
  <si>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</si>
  <si>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</si>
  <si>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</si>
  <si>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</si>
  <si>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</si>
  <si>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Reputacional</t>
  </si>
  <si>
    <t>Reducir (compartir)</t>
  </si>
  <si>
    <t>Económico y Reputacional</t>
  </si>
  <si>
    <t>Plan de accion (solo para la opción reducir)</t>
  </si>
  <si>
    <t>Impacto Inherente</t>
  </si>
  <si>
    <t>Finalizado</t>
  </si>
  <si>
    <t>Leve</t>
  </si>
  <si>
    <t>En curso</t>
  </si>
  <si>
    <t>Procesos Institucionales</t>
  </si>
  <si>
    <t>Gestión Estratégica</t>
  </si>
  <si>
    <t>Gestión Social</t>
  </si>
  <si>
    <t>Gestión de Desarrollo de Soluciones Habitacionales</t>
  </si>
  <si>
    <t>Gestión de Atención al Usuario</t>
  </si>
  <si>
    <t>Gestión del Talento Humano</t>
  </si>
  <si>
    <t>Gestión de Comunicaciones</t>
  </si>
  <si>
    <t>Gestión de Infraestructura</t>
  </si>
  <si>
    <t>Gestión de TIC</t>
  </si>
  <si>
    <t>Gestión Documental</t>
  </si>
  <si>
    <t>Gestión Jurídica</t>
  </si>
  <si>
    <t>Gestión de Evaluación y  Mejora Continua</t>
  </si>
  <si>
    <t>Gesión de Evaluación Indpendiente</t>
  </si>
  <si>
    <t>Registro Sustancial</t>
  </si>
  <si>
    <t>Registro Material</t>
  </si>
  <si>
    <t>Sin registro</t>
  </si>
  <si>
    <t>Reducir</t>
  </si>
  <si>
    <t>Disminuir los errores en la asignación presupuestal de ingresos y gastos en cada vigencia</t>
  </si>
  <si>
    <t>Realizar el pago oportuno de las comisiones fiduciarias de acuerdo a los términos establecidos en el contrato</t>
  </si>
  <si>
    <t>Fiducias</t>
  </si>
  <si>
    <t>reflejada en 
* hallazgos de los entes de control
* Pago de intereses de mora</t>
  </si>
  <si>
    <t>debido a  el pago inoportuno de las comisiones fiduciarias de acuerdo con los términos establecidos en el contrato fiduciario.</t>
  </si>
  <si>
    <t>Posibilidad de afectación reputacional y económical reflejada en hallazgos de los entes de control asi como el pago de intereses de mora, debido a  el pago inoportuno de las comisiones fiduciarias de acuerdo con los términos establecidos en el contrato fiduciario.</t>
  </si>
  <si>
    <t>Que la factura o documento de cobro de las comisiones pactadas en el contrato marco, no sea recibida por los canales estipulados de acuerdo a la normatividad vigente.</t>
  </si>
  <si>
    <t>Se ha establecido el correo institucional recepcion.facturas@isvimed.gov.co como canal oficial para la recepción de facturas.
El profesional de apoyo de la linea de acción de Contabilidad revisa diariamente la recepción de la facturas electrónicas en el correo mencionado y verifica que las mismas lleguen con cumplimiento del calendario financiero que estipula las fechas máximas de recepción de facturas, y las direcciona a las dependencias competentes.</t>
  </si>
  <si>
    <t>facturas electrónicas</t>
  </si>
  <si>
    <t>Que las facturas no incluyan los valores de la comisión de acuerdo al contrato marco</t>
  </si>
  <si>
    <t>El profesional de la linea de acción de Fiducias verifica si la comisión facturada es la pactada en el contrato marco.
Si los valores concuerdan con la pactado, se identifica el CDP y Compromiso presupuestal que debe ser afectado y se envia a Contabilidad para su respectiva causación.</t>
  </si>
  <si>
    <t>Factura electrónica enviada via email a contabilidad con relación de CDP y compromiso presupuestal</t>
  </si>
  <si>
    <t>Que la factura o documento de cobro no sea contabilizada y pagada en los plazos establecidos entre las partes.</t>
  </si>
  <si>
    <t>La linea de acción de Contabilidad causa la factura electrónica de acuerdo con las cuentas establecidas y tesorería paga en los términos del calendario financiero de cada mes.
El profesional de la linea de acción de Fiducias verifica que los pagos de las comisiones se hayan realizado en los términos establecidos en el contrato marco, para lo cual utliza el cuadro de control de pagos.</t>
  </si>
  <si>
    <t>Cuadro de control de pagos</t>
  </si>
  <si>
    <t xml:space="preserve">
Garantizar que el 100% de los pagos que se realicen en el marco de los contratos fiduciarios se encuentren debidamente soportados.</t>
  </si>
  <si>
    <t>reflejada en 
detrimento patrimonial derivado de la perdida de competencia para recuperar los recursos.
Hallazgos por parte del ente de control fiscal</t>
  </si>
  <si>
    <t>debido a que los pagos que se realicen en el desarrollo de los contratos fiduciarios no se encuentren deibidamente soportados</t>
  </si>
  <si>
    <t xml:space="preserve">Posibilidad de afectación económica y reputacional reflejada en el 
detrimento patrimonial derivado de la perdida de competencia para recuperar los recursos, asi como por hallazgos de los entes de control fiscal, debido a que los pagos que se realicen en el desarrollo de los contratos fiduciarios no se encuentren deibidamente soportados. </t>
  </si>
  <si>
    <t>1. Que las políticas de pago no estén definidas e incluidas en el contrato marco.</t>
  </si>
  <si>
    <t>Los profesionales asignados a fiducias de las Subdirecciones financiera y jurídica  verifican que las políticas de pago estén incluídas en el contrato marco.</t>
  </si>
  <si>
    <t>El contrato marco firmado entre las partes</t>
  </si>
  <si>
    <t xml:space="preserve">2. Que la  solicitud de pago no este correcta y completamente diligenciada  en todos sus campos y con las firmas autorizadas. </t>
  </si>
  <si>
    <t>El profesional del area financiera revisa que la solicitud de pago  este completamente diligenciada en todos sus campos, con las firmas autorizadas y que la información relacionada guarde concordancia con los anexos.
Para efectos de control se diligencia el formato remisorio de los pagos con los soportes, en donde se consolidan los pagos gestionados con las respectivas instancias de revisión y aprobación. 
Documentado en: Procedimiento de Pagos</t>
  </si>
  <si>
    <t xml:space="preserve">Formato SOLICITUD DE PAGO y anexos que la soportan.
Formato remisorio de los pagos con los soportes </t>
  </si>
  <si>
    <t xml:space="preserve">El profesional de fiducias, el profesional del área financiera y la tesorería verifican que los anexos cumplan con todos los requisitos y normatividad de ley. </t>
  </si>
  <si>
    <t>Anexos Solicitud de pago</t>
  </si>
  <si>
    <t>Garantizar la restitucion de los rendimientos financieros para la totalidad de las cuentas de los negocios fiduciarios de manera oportuna y en cumplimiento de los lineamientos establecidos en los contratos matriz y la normatividad aplicable.</t>
  </si>
  <si>
    <t>Posilbidad de afectación reputacional</t>
  </si>
  <si>
    <t>Reflejada en
- Requerimientos por parte de la Secretaría de Hacienda del Distrito.
- Hallazgos por parte de la Contraloría Distrital de Medellín.</t>
  </si>
  <si>
    <t>debido a que no se restituyan los rendimientos financieros de la totalidad de las cuentas de los negocios fiduciarios de manera oportuna y en cumplimiento de los lineamientos establecidos en los contratos matriz y la normatividad aplicable.</t>
  </si>
  <si>
    <t>Posilbidad de afectación reputacional del Instituto reflejada en requerimientos por parte de la Secretaría de Hacienda del Distrito asi como hallazgos por parte de la Contraloría Distrital de Medellín, debido a que no se restituyan los rendimientos financieros de la totalidad de las cuentas de los negocios fiduciarios de manera oportuna y en cumplimiento de los lineamientos establecidos en los contratos matriz y la normatividad aplicable.</t>
  </si>
  <si>
    <t>1. Que los rendimientos financieros generados en cada subcuenta no ingresen en la cuenta bancaria de Isvimed pactada entre las partes para la transferencia de rendimientos financieros y que permitan la restitución al Distrito.</t>
  </si>
  <si>
    <t>El profesional de Fiducias recibe los extractos bancarios de cada subcuenta mes a mes y los registra en la Formato Reintegro rendimientos financieros fondos fiduciarios. Se verifica que los rendimientos generados para cada subcuenta sean los que se encuentran  en el extracto, los cuales posteriormente serán reintgerados al Distrito.
En el caso de que la Fiduciaria no genere y transfiera los rendimientos, el profesional de apoyo mediante correo electróncio realizará la respectiva solicitud.</t>
  </si>
  <si>
    <t>Extractos bancarios de subcuentas de fiducias.
Formato Reintegro rendimientos financieros fondos fiduciarios
Comunicaciones con las fiduciarias solicitando transferencia de rendimientos financieros.</t>
  </si>
  <si>
    <t>2. No se verifica la efectiva restitución de los rendimientos financieros al Distrito</t>
  </si>
  <si>
    <t>El profesional de Fiducias identifica los cortes de reintegro de rendimientos al Distrito para comparar el monto reintegrado vs monto ingresado en la cuenta bancaria de Isvimed pactada entre las partes para la transferencia de rendimientos financieros. 
Las diferencias deben ser reintegradas,  para lo cual el profesional de Fiducias solicita al Distrito que envíe la cuenta de cobro por el valor identificado. 
Una vez llegue la cuenta de cobro se realiza la orden de pago para su gestión ante la Tesorería.
Cada pago es relacionado en el Formato Reintegro rendimientos financieros fondos fiduciarios.</t>
  </si>
  <si>
    <t>Formato Reintegro rendimientos financieros fondos fiduciarios
Extractos cuenta bancaria de Isvimed pactada entre las partes para la transferencia de rendimientos financieros.
Comprobante de egreso.</t>
  </si>
  <si>
    <t xml:space="preserve">
Que no existan diferencias entre los saldos de cada cuenta fiduciaria y lo registrado en contablidad. </t>
  </si>
  <si>
    <t>reflejada en 
 Hallazgos por parte de los entes de control</t>
  </si>
  <si>
    <t>debido a la existencia de diferencias entre los saldos de cada cuenta fiduciaria y lo registrado en contablidad.</t>
  </si>
  <si>
    <t>Posilbidad de afectación reputacional reflejada en hallazgos por parte de los entes de control, debido a la existencia de  diferencias entre los saldos de cada cuenta fiduciaria y lo registrado en contablidad.</t>
  </si>
  <si>
    <t>1.No se realiza la conciliación de saldos a partir de la recepción del extracto bancario de la cuenta fiduciaria.</t>
  </si>
  <si>
    <t>El profesional de fiducias consolida de manera mensual los extractos bancarios para la totalidad de las cuentas fiduciarias.
Para cada cuenta fiduciaria diligencia el formato "Conciliación de Recursos Administrados a través de Sociadades Fiduciarias con la información que refleja cada extracto.
El profesional de Fiducias solicita a contabilidad el saldo de la cuenta fiduciaria y compara la información con lo diligenciado en el formato. En el caso de que existan diferencian se relacionan igualmente en la conciliación detallando la naturaleza de las mismas, y estableciendo las contabilizaciones o ajustes pertienentes.
El formato de conciliación, el Extracto Bancario y Saldo Contable de la cuenta fiduciaria son enviadas a Contabilidad y Tesorería para su respectiva revisión y aprobación.</t>
  </si>
  <si>
    <t xml:space="preserve">Formato Conciliación de Recursos Administrados a través de Sociadades Fiduciarias
Extracto Bancario
Saldo Contable de la cuenta fiduciaria
</t>
  </si>
  <si>
    <t>Que concuerde la información financiera relacionada con ingresos y egresos de las subcuentas del contrato derivado a liquidar con los movimientos de los extractos, soportes de pago, contrato inicial y modificaciones, asi como lo contenido en el informe de supervisión.</t>
  </si>
  <si>
    <t>Posilbidad de afectación reputacional del Instituto</t>
  </si>
  <si>
    <t>debido a que existan diferencias entre la información financiera relacionada con ingresos y egresos de las subcuentas del contrato a liquidar con los documentos que la soportan, de manera que no permitan la liquidación del mismo.
Nota:los documentos soportes se refieren a: los movimientos de los extractos, soportes de pago, contrato inicial y modificaciones, e informe de supervisión</t>
  </si>
  <si>
    <t>Posilbidad de afectación reputacional por hallazgos por parte de los entes de control, debido a que existan diferencias entre la información financiera relacionada con ingresos y egresos de las subcuentas del contrato a liquidar con los documentos que la soportan, de manera que no permitan la liquidación del mismo.
Nota:los documentos soportes se refieren a: los movimientos de los extractos, soportes de pago, contrato inicial y modificaciones, e informe de supervisión</t>
  </si>
  <si>
    <t>1.El saldo final del banco no concuerda con los ingresos y egresos ejecutados para cada una de las subcuentas del contrato.</t>
  </si>
  <si>
    <t>El supervisor responsable de la liquidación del contrato, entrega al profesional de fiducias la proyeccción del acta de liquidación con los componentes jurídico, técnico, social y ambiental asi como el expediente de contrato con los soportes correspondientes.
El profesional de fiducias incluye en la proyección del acta de liquidación el componente financiero, para lo cual, verifica que la información proporcionada por el supervisor concuerde con los movimientos y saldos de los extractos bancarios de cada subcuenta, teniendo cuenta la información del contrato inicial y sus adiciones y/o modificaciones, para lo cual utiliza una matriz de control.
En caso de identificar diferencias se busca establecer el origen de la mismas.</t>
  </si>
  <si>
    <t xml:space="preserve">Matriz de Control de Patrimonio Autónomo Derivado - Contrato </t>
  </si>
  <si>
    <t>Determinar la totalidad de los recursos monetarios que integran el Patrimonio Autónomo Matriz (Fideicomiso) y los patrimonios autónomos asignados a cada proyecto - contratos.</t>
  </si>
  <si>
    <t xml:space="preserve">reflejada en:
PQRS por parte de acreedores y contratistas en razón de la demora en los pagos
Hallazgos por parte de los entes de control </t>
  </si>
  <si>
    <t xml:space="preserve">
debido a se que realicen pagos utilizando recursos de patrimonios autónomos no asignados a un proyecto específico, afectando pagos de otros proyectos</t>
  </si>
  <si>
    <t xml:space="preserve">Posibilidad de afectación reputacional del Instituto reflejada en PQRS por parte de acreedores y contratistas en razón de la demora en los pagos así como por hallazgos por de los entes de control, debido a se que realicen pagos utilizando recursos de patrimonios autónomos no asignados a un proyecto específico, afectando pagos de otros proyectos. </t>
  </si>
  <si>
    <t>No es posible determinar la totalidad de los recursos monetarios que integran el Patrimonio Autónomo Matriz (Fideicomiso) y los patrimonios autónomos asignados a cada proyecto - contratos.
No se controlan los saldos, retiros, ingresos, las comisiones, los rendimientos y los gravámenes relacionados con el patrimonio autónomo matriz como con los patrimonios autónomos derivados.</t>
  </si>
  <si>
    <t xml:space="preserve">El profesional de fiducias realiza seguimiento a los saldos, retiros, ingresos, las comisiones, los rendimientos y los gravámenes relacionados tanto con el patrimonio autónomo matriz - PAM como con los patrimonios autónomos derivados - PAD, que corresponden a cada contrato generado. De esta manera se tiene un control sobre los  permitiendo de esta manera. Para el control del PAM se utiliza el formato de informe de supervisión a los negocios fiduciarios y para el control de los PAD se utiliza la Matriz de Control de Patrimonio Autónomo Derivado - Contrato  asi como el el informe parcial de supervisión a Fiducias.
</t>
  </si>
  <si>
    <t>Informe de supervisión a los negocios fiduciarios
Matriz de Control de Patrimonio Autónomo Derivado - Contrato  
 Informe parcial de supervisión a Fiducias.</t>
  </si>
  <si>
    <t xml:space="preserve">En el caso de materialización del riesgo, es decir, que se realicen pagos utilizando recursos de patrimoinos autónomos no asignados a un proyecto específico y que por tanto afecten pagos de otros proyectos, el profesional de fiducias realiza la conciliación de la totalidad de las subcuentas asociadas a los Patrimonios autónomos vigentes, para lo cual utiliza la Matriz de Control de Patrimonio Autónomo Derivado. </t>
  </si>
  <si>
    <t>Matriz de Control de Patrimonio Autónomo Derivado - Contrato</t>
  </si>
  <si>
    <t>Se incluye este riesgo de la linea de Fiducias relacionado con la "Posibilidad de afectación reputacional y económical reflejada en hallazgos de los entes de control asi como el pago de intereses de mora, debido a  el pago inoportuno de las comisiones fiduciarias de acuerdo con los términos establecidos en el contrato fiduciario."</t>
  </si>
  <si>
    <t xml:space="preserve">Se incluye este riesgo de la linea de Fiducias relacionado con la "Posibilidad de afectación económica y reputacional reflejada en el 
detrimento patrimonial derivado de la perdida de competencia para recuperar los recursos, asi como por hallazgos de los entes de control fiscal, debido a que los pagos que se realicen en el desarrollo de los contratos fiduciarios no se encuentren deibidamente soportados". </t>
  </si>
  <si>
    <t>Se incluye este riesgo de la linea de Fiducias relacionado con la "Posilbidad de afectación reputacional del Instituto reflejada en requerimientos por parte de la Secretaría de Hacienda del Distrito asi como hallazgos por parte de la Contraloría Distrital de Medellín, debido a que no se restituyan los rendimientos financieros de la totalidad de las cuentas de los negocios fiduciarios de manera oportuna y en cumplimiento de los lineamientos establecidos en los contratos matriz y la normatividad aplicable.</t>
  </si>
  <si>
    <t>Se incluye este riesgo de la linea de Fiducias relacionado con la "Posilbidad de afectación reputacional reflejada en hallazgos por parte de los entes de control, debido a la existencia de  diferencias entre los saldos de cada cuenta fiduciaria y lo registrado en contablidad".</t>
  </si>
  <si>
    <t>Se incluye este riesgo de la linea de Fiducias relacionado con la "Posilbidad de afectación reputacional por hallazgos por parte de los entes de control, debido a que existan diferencias entre la información financiera relacionada con ingresos y egresos de las subcuentas del contrato a liquidar con los documentos que la soportan, de manera que no permitan la liquidación del mismo".</t>
  </si>
  <si>
    <t>Se incluye este riesgo de la linea de Fiducias relacionado con la "Posibilidad de afectación reputacional del Instituto reflejada en PQRS por parte de acreedores y contratistas en razón de la demora en los pagos así como por hallazgos por de los entes de control, debido a se que realicen pagos utilizando recursos de patrimonios autónomos no asignados a un proyecto específico, afectando pagos de otros proyectos".</t>
  </si>
  <si>
    <r>
      <t xml:space="preserve">Fiducias
</t>
    </r>
    <r>
      <rPr>
        <sz val="11"/>
        <color rgb="FFFF0000"/>
        <rFont val="Arial Narrow"/>
        <family val="2"/>
      </rPr>
      <t>Riesgo Fiscal</t>
    </r>
  </si>
  <si>
    <t>Reducir en un 50% el Valor de la cartera hipotecaria de obligaciones mayor a 6 cuotas vencidas para la vigencia 2025. 
Este tipo de cartera se considera como de dificil recaudo.</t>
  </si>
  <si>
    <t>Lograr un bajo porcentaje de cartera hipotecaria de obligaciones vencidas menor o igual a 6 cuotas.</t>
  </si>
  <si>
    <t>La linea de Cartera identifica los deudores a partir de una cuota vencida.
El responsable de la Cartera Hipotecaria verifica la base de datos con edades de cartera entre 1 y 6 cuotas para iniciar contacto con el deudor a fin de ofrecer alternativas de pago oportuno (cobro persuasivo)</t>
  </si>
  <si>
    <t>El responsable de la Cartera Hipotecaria de manera mensual realiza informe de las edades de la cartera hipotecaria el cual es enviado al Contador para su respectivo análisis.
Se considera cartera con un mayor riesgo de irrecuperabilidad las obligaciones con más de 6 cuotas vencidas (&gt; 180 días).
Con base en esta información se elabora un Plan de recuperación de cartera</t>
  </si>
  <si>
    <t>Disminuir a 0 las diferencias no justificadas de los saldos de operaciones recíprocas de las entidades contratistas y los saldos del Estado de la Situación Financiera al corte  de cada vigencia.</t>
  </si>
  <si>
    <t>reflejada en 
- Multas y sanciones a cargo del Instituto  
- Afectación negativa de la calidad de la información contable en lo que respecta a su veracidad y confiabilidad rerivando en Hallazgos de los Entes de Control.</t>
  </si>
  <si>
    <t>debido a la inexactitud en los saldos de la cuentas de Recursos Entregados en Administración por diferencias no justificadas entre los saldos del Estado de Situación Financiera a diciembre 31 de cada vigencia y los saldos de los reportes por operaciones recíprocas de las Entidades contratistas.</t>
  </si>
  <si>
    <t xml:space="preserve">Posibilidad de afectación económica reflejada en multas y sanciones a cargo del Instituto asi como afectación de la calidad de la información contable en lo que respecta a su veracidad y confiabilidad derivando en Hallazgos de los Entes de Control. Lo anterior, debido a la inexactitud en los saldos de la cuentas de Recursos Entregados en Administración por diferencias no justificadas entre los saldos del Estado de Situación Financiera a diciembre 31 de cada vigencia y los saldos de los reportes por operaciones recíprocas de las Entidades contratistas.
</t>
  </si>
  <si>
    <t>Los supervisores no suministran la información oportunamente al área contable, con fines de preparar y elaborar los estados financieros de cierre de periodo</t>
  </si>
  <si>
    <t xml:space="preserve">El área contable proyecta una circular que establezca el requerimiento de un Informe Mensual de Ejecución de Recursos, en cumplimiento de los lineamientos definidos en la Resolución CODFIS 004 - Rad. 202550001312 del 14 de enero de 2025 y verifica el cumplimiento de estos linamientos mediante el informe de seguimiento de ejecución de convenios.
</t>
  </si>
  <si>
    <t>Informe de seguimiento de ejecución de convenios</t>
  </si>
  <si>
    <t>Falta de conciliaciones oportunas entre las entidades.</t>
  </si>
  <si>
    <t>El área contable se comunica con las Entidades Públicas que presenten diferencias en los registros de saldos recíprocos ya sea a través de reuniones presenciales, virtuales, envio de correos masivos, llamadas telefónicas, entre otras, con el propósito de definir estrategias conjuntas para la conciliación de dichas diferencias y verificar la consistencia de la información financiera entre las partes involucradas. Esta información se validad a través del informe de conciliación operaciones recíprocas entre entidades
Públicas.En el caso de diferencias se deben establecer las justificaciones correspondientes</t>
  </si>
  <si>
    <t xml:space="preserve">*Informe circularización
*Informe conciliación operaciones recíprocas entre entidades
Públicas
*Reporte operaciones recíprocas </t>
  </si>
  <si>
    <t xml:space="preserve">Disminuir a 0 las diferencias entre libros contables e inventarios físicos de información de los activos de bienes muebles e inmuebles de la entidad.	</t>
  </si>
  <si>
    <t>Posibilidad de afectación reputacional</t>
  </si>
  <si>
    <t>Reflejada en hallazgos por parte de los entes de control</t>
  </si>
  <si>
    <t>debido a la existencia de diferencias de información de los activos de bienes inmuebles de la entidad entre libros contables e inventarios físicos que derivan en la sobreestimación o subestimación de la cuenta de inventarios.</t>
  </si>
  <si>
    <t>Posibilidad de afectación reputacional reflejada en hallazgos por parte de los entes de control debido a la existencia de diferencias de información de los activos de bienes inmuebles de la entidad entre libros contables e inventarios físicos que derivan en la sobreestimación o subestimación de la cuenta de inventarios.</t>
  </si>
  <si>
    <t>Falta de acceso a las siguientes bases de datos:
Internas: Inventario de bienes inmuebles del Instituto (SIFI) , Inmuebles pendientes por escriturar, inmuebles pendientes por entregar y entregados..
Externa:: Base de datos de catastro.</t>
  </si>
  <si>
    <t>media</t>
  </si>
  <si>
    <t>moderado</t>
  </si>
  <si>
    <t>Solicitar a l proceso de Infraestructura, bienes y servicios y la subdirección juridica, mediante memorando, el inventario de bienes inmuebles del Instituto (SIFI) , Inmuebles pendientes por escriturar, inmuebles pendientes por entregar y entregados., de manera trimestral, 
Con esta información se comparan los valores globales que están registrados contablemente vs la información proporcionada de los inventarios de bienes inmuebles para realizar los respectivos ajustes y lograr la conciliación de la información.</t>
  </si>
  <si>
    <t>Memorandos solicitando la información de bases datos</t>
  </si>
  <si>
    <t/>
  </si>
  <si>
    <t>Ausencia de metodología para realizar la conciliación de la cuenta de inventarios</t>
  </si>
  <si>
    <t>Sin control a la fecha
No existe metodología para realizar la conciliación de la cuenta de inventarios ni controles asociados</t>
  </si>
  <si>
    <t>Establecer la metodología para la conciliación de la cuenta de inventarios. Fecha: Junio 2026</t>
  </si>
  <si>
    <t>Rendir de manera oportuna los informes de ley a cargo de la Subdirección Administrativa y Financiera</t>
  </si>
  <si>
    <r>
      <t xml:space="preserve">Se incluye este riesgo de la línea de acción de contabilidad relacionado con la Posibilidad de afectación económica reflejada en multas y sanciones a cargo del Instituto asi como afectación de la calidad de la información contable en lo que respecta a su veracidad y confiabilidad derivando en Hallazgos de los Entes de Control. Lo anterior, debido a la inexactitud en los saldos de la cuentas de Recursos Entregados en Administración por diferencias no justificadas entre los saldos del Estado de Situación Financiera a diciembre 31 de cada vigencia y los saldos de los reportes por operaciones recíprocas de las Entidades contratistas.
</t>
    </r>
    <r>
      <rPr>
        <b/>
        <sz val="11"/>
        <color theme="1"/>
        <rFont val="Arial Narrow"/>
        <family val="2"/>
      </rPr>
      <t>Esta evento se identificó a partir de hallazgos de los informes de la Contraloría Distrital de Medellín y de informes de la Oficina de Control Interno</t>
    </r>
  </si>
  <si>
    <r>
      <t xml:space="preserve">Se incluye este riesgo de la línea de acción de contabilidad relacionado con la Posibilidad de afectación reputacional reflejada en hallazgos por parte de los entes de control debido a la existencia de diferencias de información de los activos de bienes inmuebles de la entidad entre libros contables e inventarios físicos que derivan en la sobreestimación o subestimación de la cuenta de inventarios.
</t>
    </r>
    <r>
      <rPr>
        <b/>
        <sz val="11"/>
        <color theme="1"/>
        <rFont val="Arial Narrow"/>
        <family val="2"/>
      </rPr>
      <t>Esta evento se identificó a partir de hallazgos de los informes de la Contraloría Distrital de Medellín.</t>
    </r>
  </si>
  <si>
    <t>Actualizada noviembre de 2025</t>
  </si>
  <si>
    <t>TIPOLOGÍA</t>
  </si>
  <si>
    <t>Gestión</t>
  </si>
  <si>
    <t>Fiscal</t>
  </si>
  <si>
    <t>Seg. de la Información</t>
  </si>
  <si>
    <t>Integridad Pùblica - Corrupción</t>
  </si>
  <si>
    <t>Integridad Pùblica - LA/FT/FP</t>
  </si>
  <si>
    <t>IMPACTO</t>
  </si>
  <si>
    <t>Nivel</t>
  </si>
  <si>
    <t>% Impacto</t>
  </si>
  <si>
    <t>Afectación_Económica</t>
  </si>
  <si>
    <t>Menor a 10 SMLMV</t>
  </si>
  <si>
    <t>El riesgo afecta la imagen de algún área de la organización.</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</si>
  <si>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</si>
  <si>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</si>
  <si>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</si>
  <si>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</si>
  <si>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</si>
  <si>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</si>
  <si>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</si>
  <si>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</si>
  <si>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</si>
  <si>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</si>
  <si>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</si>
  <si>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</si>
  <si>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</si>
  <si>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</si>
  <si>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r>
      <t>Se materializó el Riesgo?  (Ver evento potencial principal en Columna F. Relacionar detalles de la materialización - que, como, cuando, donde)</t>
    </r>
    <r>
      <rPr>
        <sz val="11"/>
        <color rgb="FF000000"/>
        <rFont val="Arial Narrow"/>
        <family val="2"/>
      </rPr>
      <t xml:space="preserve">:
No se evidencia la materialización del evento potencial principal. Durante el período evaluado, los valores desembolsados corresponden a los valores obligados.
</t>
    </r>
    <r>
      <rPr>
        <b/>
        <sz val="11"/>
        <color rgb="FF000000"/>
        <rFont val="Arial Narrow"/>
        <family val="2"/>
      </rPr>
      <t xml:space="preserve">
Los Controles están bien  diseñados, se aplican de acuerdo al diseño  y son efectivos? (Ver controles en la columna P / Concluir frente a cada control): 
</t>
    </r>
    <r>
      <rPr>
        <sz val="11"/>
        <color rgb="FF000000"/>
        <rFont val="Arial Narrow"/>
        <family val="2"/>
      </rPr>
      <t xml:space="preserve">Las medidas de control para este riesgo están bien diseñadas y se aplican de acuerdo con el proceso.
El control 1 permite verificar que el soporte de pago generado en la sucursal bancaria coincida con el egreso, y el control 2 valida que la información registrada en la sucursal corresponda con los soportes de la solicitud de pago.
En este sentido, los controles son coherentes y contribuyen a mitigar el riesgo.
</t>
    </r>
    <r>
      <rPr>
        <b/>
        <sz val="11"/>
        <color rgb="FF000000"/>
        <rFont val="Arial Narrow"/>
        <family val="2"/>
      </rPr>
      <t xml:space="preserve">
Que acciones propones o se están llevando a cabo para gestionar el riesgo que se materializó? (Si no aplica colocar N/A)
</t>
    </r>
    <r>
      <rPr>
        <sz val="11"/>
        <color rgb="FF000000"/>
        <rFont val="Arial Narrow"/>
        <family val="2"/>
      </rPr>
      <t>No aplica, dado que el riesgo no se materializó durante el período evaluado.</t>
    </r>
    <r>
      <rPr>
        <b/>
        <sz val="11"/>
        <color rgb="FF000000"/>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rgb="FF000000"/>
        <rFont val="Arial Narrow"/>
        <family val="2"/>
      </rPr>
      <t>Se continúa con la aplicación de los controles definidos y el seguimiento periódico a su ejecución, con el fin de garantizar su adecuada operación</t>
    </r>
    <r>
      <rPr>
        <b/>
        <sz val="11"/>
        <color rgb="FF000000"/>
        <rFont val="Arial Narrow"/>
        <family val="2"/>
      </rPr>
      <t>.</t>
    </r>
  </si>
  <si>
    <r>
      <t xml:space="preserve">Se materializó el Riesgo?  (Ver evento potencial principal en Columna F. Relacionar detalles de la materialización - que, como, cuando, donde):
</t>
    </r>
    <r>
      <rPr>
        <sz val="11"/>
        <color rgb="FF000000"/>
        <rFont val="Arial Narrow"/>
        <family val="2"/>
      </rPr>
      <t>No se evidencia la materialización del evento potencial principal. Durante el período evaluado no se presentaron pagos dobles de obligaciones.</t>
    </r>
    <r>
      <rPr>
        <b/>
        <sz val="11"/>
        <color rgb="FF000000"/>
        <rFont val="Arial Narrow"/>
        <family val="2"/>
      </rPr>
      <t xml:space="preserve">
Los Controles están bien  diseñados, se aplican de acuerdo al diseño  y son efectivos? (Ver controles en la columna P / Concluir frente a cada control):
</t>
    </r>
    <r>
      <rPr>
        <sz val="11"/>
        <color rgb="FF000000"/>
        <rFont val="Arial Narrow"/>
        <family val="2"/>
      </rPr>
      <t xml:space="preserve">Las medidas de control para este riesgo están bien diseñadas y se aplican de acuerdo con el proceso.
El control 1 permite identificar posibles inconsistencias a través de la conciliación bancaria realizada por contabilidad, y el control 2 asegura, mediante el visto bueno de tesorería a los egresos, que no se generen pagos duplicados.
En este sentido, los controles son coherentes y contribuyen a mitigar el riesgo.
</t>
    </r>
    <r>
      <rPr>
        <b/>
        <sz val="11"/>
        <color rgb="FF000000"/>
        <rFont val="Arial Narrow"/>
        <family val="2"/>
      </rPr>
      <t xml:space="preserve">
Que acciones propones o se están llevando a cabo para gestionar el riesgo que se materializó? (Si no aplica colocar N/A)
</t>
    </r>
    <r>
      <rPr>
        <sz val="11"/>
        <color rgb="FF000000"/>
        <rFont val="Arial Narrow"/>
        <family val="2"/>
      </rPr>
      <t>No aplica, dado que el riesgo no se materializó. Se mantienen los controles establecidos para su mitigación.</t>
    </r>
    <r>
      <rPr>
        <b/>
        <sz val="11"/>
        <color rgb="FF000000"/>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rgb="FF000000"/>
        <rFont val="Arial Narrow"/>
        <family val="2"/>
      </rPr>
      <t xml:space="preserve">Se mantiene la aplicación de los controles establecidos y se realiza seguimiento periódico a su ejecución. </t>
    </r>
  </si>
  <si>
    <r>
      <t xml:space="preserve">Se materializó el Riesgo?  (Ver evento potencial principal en Columna F. Relacionar detalles de la materialización - que, como, cuando, donde):
</t>
    </r>
    <r>
      <rPr>
        <sz val="11"/>
        <color rgb="FF000000"/>
        <rFont val="Arial Narrow"/>
        <family val="2"/>
      </rPr>
      <t>No se evidencia la materialización del evento potencial principal. Durante el período evaluado no se presentaron casos de apropiación indebida de recursos por parte de empleados o terceros.</t>
    </r>
    <r>
      <rPr>
        <b/>
        <sz val="11"/>
        <color rgb="FF000000"/>
        <rFont val="Arial Narrow"/>
        <family val="2"/>
      </rPr>
      <t xml:space="preserve">
Los Controles están bien  diseñados, se aplican de acuerdo al diseño  y son efectivos? (Ver controles en la columna P / Concluir frente a cada control)
</t>
    </r>
    <r>
      <rPr>
        <sz val="11"/>
        <color rgb="FF000000"/>
        <rFont val="Arial Narrow"/>
        <family val="2"/>
      </rPr>
      <t xml:space="preserve">Las medidas de control para este riesgo están bien diseñadas y se aplican de acuerdo con el proceso.
Los controles establecidos permiten la adecuada autorización del gasto, la verificación periódica de recursos mediante arqueos y conciliaciones, así como la validación de información del personal y la existencia de canales formales para la denuncia de posibles irregularidades.
En este sentido, los controles son coherentes y contribuyen a mitigar el riesgo.
</t>
    </r>
    <r>
      <rPr>
        <b/>
        <sz val="11"/>
        <color rgb="FF000000"/>
        <rFont val="Arial Narrow"/>
        <family val="2"/>
      </rPr>
      <t xml:space="preserve">
Que acciones propones o se están llevando a cabo para gestionar el riesgo que se materializó? (Si no aplica colocar N/A)
</t>
    </r>
    <r>
      <rPr>
        <sz val="11"/>
        <color rgb="FF000000"/>
        <rFont val="Arial Narrow"/>
        <family val="2"/>
      </rPr>
      <t>No aplica, dado que el riesgo no se materializó. Se mantienen los controles establecidos para su mitigación.</t>
    </r>
    <r>
      <rPr>
        <b/>
        <sz val="11"/>
        <color rgb="FF000000"/>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rgb="FF000000"/>
        <rFont val="Arial Narrow"/>
        <family val="2"/>
      </rPr>
      <t>Se mantiene la aplicación de los controles establecidos y se realiza seguimiento periódico a su ejecución.</t>
    </r>
  </si>
  <si>
    <r>
      <t xml:space="preserve">Se materializó el Riesgo?  (Ver evento potencial principal en Columna F. Relacionar detalles de la materialización - que, como, cuando, donde):
</t>
    </r>
    <r>
      <rPr>
        <sz val="11"/>
        <color rgb="FF000000"/>
        <rFont val="Arial Narrow"/>
        <family val="2"/>
      </rPr>
      <t xml:space="preserve">No se evidencia la materialización del evento potencial principal. Durante el período evaluado se dio cumplimiento a los pagos conforme al PAC proyectado de gastos.
</t>
    </r>
    <r>
      <rPr>
        <b/>
        <sz val="11"/>
        <color rgb="FF000000"/>
        <rFont val="Arial Narrow"/>
        <family val="2"/>
      </rPr>
      <t xml:space="preserve">
Los Controles están bien  diseñados, se aplican de acuerdo al diseño  y son efectivos? (Ver controles en la columna P / Concluir frente a cada control)
</t>
    </r>
    <r>
      <rPr>
        <sz val="11"/>
        <color rgb="FF000000"/>
        <rFont val="Arial Narrow"/>
        <family val="2"/>
      </rPr>
      <t xml:space="preserve">Las medidas de control para este riesgo están bien diseñadas y se aplican de acuerdo con el proceso.
Los controles establecidos permiten la adecuada planificación y ejecución de los pagos, mediante la definición del cronograma de cierre financiero, la validación de soportes, la verificación de la disponibilidad de recursos y el seguimiento periódico a la programación de pagos.
En este sentido, los controles son coherentes y contribuyen a mitigar el riesgo.
</t>
    </r>
    <r>
      <rPr>
        <b/>
        <sz val="11"/>
        <color rgb="FF000000"/>
        <rFont val="Arial Narrow"/>
        <family val="2"/>
      </rPr>
      <t xml:space="preserve">
Que acciones propones o se están llevando a cabo para gestionar el riesgo que se materializó? (Si no aplica colocar N/A)
</t>
    </r>
    <r>
      <rPr>
        <sz val="11"/>
        <color rgb="FF000000"/>
        <rFont val="Arial Narrow"/>
        <family val="2"/>
      </rPr>
      <t>No aplica, dado que el riesgo no se materializó. Se mantienen los controles establecidos para su mitigación.</t>
    </r>
    <r>
      <rPr>
        <b/>
        <sz val="11"/>
        <color rgb="FF000000"/>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rgb="FF000000"/>
        <rFont val="Arial Narrow"/>
        <family val="2"/>
      </rPr>
      <t>Se mantiene la aplicación de los controles establecidos y el seguimiento a la programación y ejecución de pagos</t>
    </r>
  </si>
  <si>
    <r>
      <t xml:space="preserve">Se materializó el Riesgo?  (Ver evento potencial principal en Columna F. Relacionar detalles de la materialización - que, como, cuando, donde):
</t>
    </r>
    <r>
      <rPr>
        <sz val="11"/>
        <color rgb="FF000000"/>
        <rFont val="Arial Narrow"/>
        <family val="2"/>
      </rPr>
      <t>No se evidencia la materialización del evento potencial principal. Durante el período evaluado se dio cumplimiento al reintegro mensual de los rendimientos financieros conforme a la normativa aplicable.</t>
    </r>
    <r>
      <rPr>
        <b/>
        <sz val="11"/>
        <color rgb="FF000000"/>
        <rFont val="Arial Narrow"/>
        <family val="2"/>
      </rPr>
      <t xml:space="preserve">
Los Controles están bien  diseñados, se aplican de acuerdo al diseño  y son efectivos? (Ver controles en la columna P / Concluir frente a cada control)
</t>
    </r>
    <r>
      <rPr>
        <sz val="11"/>
        <color rgb="FF000000"/>
        <rFont val="Arial Narrow"/>
        <family val="2"/>
      </rPr>
      <t xml:space="preserve">Las medidas de control para este riesgo están bien diseñadas y se aplican de acuerdo con el proceso.
Los controles permiten identificar oportunamente los rendimientos financieros mediante conciliaciones bancarias, así como gestionar su reintegro a través de la elaboración de los formatos correspondientes y la solicitud de la cuenta de cobro.
En este sentido, los controles son coherentes y contribuyen a mitigar el riesgo.
</t>
    </r>
    <r>
      <rPr>
        <b/>
        <sz val="11"/>
        <color rgb="FF000000"/>
        <rFont val="Arial Narrow"/>
        <family val="2"/>
      </rPr>
      <t xml:space="preserve">
Que acciones propones o se están llevando a cabo para gestionar el riesgo que se materializó? (Si no aplica colocar N/A)
</t>
    </r>
    <r>
      <rPr>
        <sz val="11"/>
        <color rgb="FF000000"/>
        <rFont val="Arial Narrow"/>
        <family val="2"/>
      </rPr>
      <t>No aplica, dado que el riesgo no se materializó. Se mantienen los controles establecidos para su mitigación.</t>
    </r>
    <r>
      <rPr>
        <b/>
        <sz val="11"/>
        <color rgb="FF000000"/>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rgb="FF000000"/>
        <rFont val="Arial Narrow"/>
        <family val="2"/>
      </rPr>
      <t>Se mantiene la aplicación de los controles establecidos y el seguimiento periódico al proceso de conciliación y reintegro de rendimientos.</t>
    </r>
  </si>
  <si>
    <r>
      <t xml:space="preserve">Se materializó el Riesgo?  (Ver evento potencial principal en Columna F. Relacionar detalles de la materialización - que, como, cuando, donde):
</t>
    </r>
    <r>
      <rPr>
        <sz val="11"/>
        <color theme="1"/>
        <rFont val="Arial Narrow"/>
        <family val="2"/>
      </rPr>
      <t xml:space="preserve">No se evidencia la materialización del evento potencial principal. Durante el período evaluado se recibieron las transferencias pactadas por el Distrito.
</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Los controles permiten gestionar oportunamente el desembolso de los recursos mediante seguimiento con la Secretaría de Hacienda del Distrito, así como la corrección y ajuste de las cuentas de cobro cuando se requiere.
En este sentido, los controles son coherentes y contribuyen a mitigar el riesgo.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No aplica, dado que el riesgo no se materializó. Se mantienen los controles establecidos para su mitigación.</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mantiene la gestión y seguimiento permanente al desembolso de recursos con las entidades correspondientes.</t>
    </r>
  </si>
  <si>
    <r>
      <t xml:space="preserve">Se materializó el Riesgo?  (Ver evento potencial principal en Columna F. Relacionar detalles de la materialización - que, como, cuando, donde):
</t>
    </r>
    <r>
      <rPr>
        <sz val="11"/>
        <color rgb="FF000000"/>
        <rFont val="Arial Narrow"/>
        <family val="2"/>
      </rPr>
      <t>No se evidencia la materialización del evento potencial principal. Durante el período evaluado, la información financiera cumple con las características del Régimen de Contabilidad Pública.</t>
    </r>
    <r>
      <rPr>
        <b/>
        <sz val="11"/>
        <color rgb="FF000000"/>
        <rFont val="Arial Narrow"/>
        <family val="2"/>
      </rPr>
      <t xml:space="preserve">
Los Controles están bien  diseñados, se aplican de acuerdo al diseño  y son efectivos? (Ver controles en la columna P / Concluir frente a cada control)
</t>
    </r>
    <r>
      <rPr>
        <sz val="11"/>
        <color rgb="FF000000"/>
        <rFont val="Arial Narrow"/>
        <family val="2"/>
      </rPr>
      <t>Las medidas de control para este riesgo están bien diseñadas y se aplican de acuerdo con el proceso.
Los controles permiten verificar que los hechos económicos se registren de forma adecuada, cumpliendo con los requisitos establecidos y en el período correspondiente, así como la validación de la correcta afectación contable y la generación de informes para seguimiento.
En este sentido, los controles son coherentes y contribuyen a mitigar el riesgo.</t>
    </r>
    <r>
      <rPr>
        <b/>
        <sz val="11"/>
        <color rgb="FF000000"/>
        <rFont val="Arial Narrow"/>
        <family val="2"/>
      </rPr>
      <t xml:space="preserve">
Que acciones propones o se están llevando a cabo para gestionar el riesgo que se materializó? (Si no aplica colocar N/A)
</t>
    </r>
    <r>
      <rPr>
        <sz val="11"/>
        <color rgb="FF000000"/>
        <rFont val="Arial Narrow"/>
        <family val="2"/>
      </rPr>
      <t>No aplica, dado que el riesgo no se materializó. Se mantienen los controles establecidos para su mitigación.</t>
    </r>
    <r>
      <rPr>
        <b/>
        <sz val="11"/>
        <color rgb="FF000000"/>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rgb="FF000000"/>
        <rFont val="Arial Narrow"/>
        <family val="2"/>
      </rPr>
      <t xml:space="preserve">Se mantiene la aplicación de los controles establecidos y el seguimiento a la calidad de la información financiera. </t>
    </r>
  </si>
  <si>
    <r>
      <t xml:space="preserve">Se materializó el Riesgo?  (Ver evento potencial principal en Columna F. Relacionar detalles de la materialización - que, como, cuando, donde):
</t>
    </r>
    <r>
      <rPr>
        <sz val="11"/>
        <color rgb="FF000000"/>
        <rFont val="Arial Narrow"/>
        <family val="2"/>
      </rPr>
      <t>No se evidencia la materialización del evento potencial principal. Durante el período evaluado, los documentos soporte de los hechos económicos fueron entregados a contabilidad dentro de los tiempos establecidos para su causación.</t>
    </r>
    <r>
      <rPr>
        <b/>
        <sz val="11"/>
        <color rgb="FF000000"/>
        <rFont val="Arial Narrow"/>
        <family val="2"/>
      </rPr>
      <t xml:space="preserve">
Los Controles están bien  diseñados, se aplican de acuerdo al diseño  y son efectivos? (Ver controles en la columna P / Concluir frente a cada control)
</t>
    </r>
    <r>
      <rPr>
        <sz val="11"/>
        <color rgb="FF000000"/>
        <rFont val="Arial Narrow"/>
        <family val="2"/>
      </rPr>
      <t xml:space="preserve">Las medidas de control para este riesgo están bien diseñadas y se aplican de acuerdo con el proceso.
El control principal, correspondiente al envío del cronograma financiero con la información requerida, permite establecer los tiempos para la entrega de documentos. Adicionalmente, se cuenta con controles asociados al seguimiento y validación de la información recibida por parte de contabilidad.
En este sentido, los controles son coherentes y contribuyen a mitigar el riesgo.
</t>
    </r>
    <r>
      <rPr>
        <b/>
        <sz val="11"/>
        <color rgb="FF000000"/>
        <rFont val="Arial Narrow"/>
        <family val="2"/>
      </rPr>
      <t xml:space="preserve">
Que acciones propones o se están llevando a cabo para gestionar el riesgo que se materializó? (Si no aplica colocar N/A)
</t>
    </r>
    <r>
      <rPr>
        <sz val="11"/>
        <color rgb="FF000000"/>
        <rFont val="Arial Narrow"/>
        <family val="2"/>
      </rPr>
      <t>No aplica, dado que el riesgo no se materializó. Se mantienen los controles establecidos para su mitigación.</t>
    </r>
    <r>
      <rPr>
        <b/>
        <sz val="11"/>
        <color rgb="FF000000"/>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rgb="FF000000"/>
        <rFont val="Arial Narrow"/>
        <family val="2"/>
      </rPr>
      <t>Se mantiene la aplicación del cronograma financiero y el seguimiento a la entrega oportuna de la información.</t>
    </r>
  </si>
  <si>
    <r>
      <t xml:space="preserve">Se materializó el Riesgo?  (Ver evento potencial principal en Columna F. Relacionar detalles de la materialización - que, como, cuando, donde):
</t>
    </r>
    <r>
      <rPr>
        <sz val="11"/>
        <color theme="1"/>
        <rFont val="Arial Narrow"/>
        <family val="2"/>
      </rPr>
      <t>No se evidencia la materialización del evento potencial principal. Durante el período evaluado se dio cumplimiento a la elaboración, certificación y publicación de los estados financieros de manera trimestral.</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El control relacionado con el cronograma permite planificar y anticipar la elaboración de los estados financieros, facilitando su presentación oportuna y reduciendo el riesgo de retrasos por fallas operativas o del sistema. Adicionalmente, se cuenta con controles de revisión, validación y aprobación de la información antes de su certificación y publicación.
En este sentido, los controles son coherentes y contribuyen a mitigar el riesgo.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No aplica, dado que el riesgo no se materializó. Se mantienen los controles establecidos para su mitigación.</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mantiene la aplicación del cronograma y el seguimiento a cada una de las etapas del proceso. Adicionalmente, se recomienda continuar fortaleciendo la oportunidad en la preparación y revisión de la información, con el fin de asegurar el cumplimiento de los tiempos establecidos para la certificación y publicación.</t>
    </r>
  </si>
  <si>
    <r>
      <t xml:space="preserve">Se materializó el Riesgo?  (Ver evento potencial principal en Columna F. Relacionar detalles de la materialización - que, como, cuando, donde):
</t>
    </r>
    <r>
      <rPr>
        <sz val="11"/>
        <color theme="1"/>
        <rFont val="Arial Narrow"/>
        <family val="2"/>
      </rPr>
      <t>No se evidencia la materialización del evento potencial principal. Durante el período evaluado no se presentaron diferencias entre la información contable reportada a la CGN y la del sistema contable de la entidad.</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El control relacionado con la revisión y validación de las denominaciones y actualizaciones de las cuentas permite asegurar la consistencia de la información a reportar. Adicionalmente, el control de verificación al momento del cargue a la CGN permite detectar oportunamente posibles errores.
En este sentido, los controles son coherentes y contribuyen a mitigar el riesgo.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No aplica, dado que el riesgo no se materializó. Se mantienen los controles establecidos para su mitigación.</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mantiene la aplicación de los controles establecidos y el seguimiento al proceso de validación y reporte de la información.</t>
    </r>
  </si>
  <si>
    <r>
      <t>Se materializó el Riesgo?  (Ver evento potencial principal en Columna F. Relacionar detalles de la materialización - que, como, cuando, donde):</t>
    </r>
    <r>
      <rPr>
        <sz val="11"/>
        <color theme="1"/>
        <rFont val="Arial Narrow"/>
        <family val="2"/>
      </rPr>
      <t xml:space="preserve">
No se evidencia la materialización del evento potencial principal. Durante el período evaluado se dio cumplimiento al cronograma de pago de impuestos.
</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El control relacionado con la gestión y seguimiento al cronograma de impuestos permite asegurar el cumplimiento de las fechas establecidas. Adicionalmente, se realizan validaciones oportunas y la presentación de los impuestos conforme a los requisitos definidos.
En este sentido, los controles son coherentes y contribuyen a mitigar el riesgo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 xml:space="preserve">No aplica, dado que el riesgo no se materializó. Se mantienen los controles establecidos para su mitigación.
</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mantiene el seguimiento al cronograma de impuestos y la ejecución de validaciones oportunas.</t>
    </r>
  </si>
  <si>
    <r>
      <t xml:space="preserve">Se materializó el Riesgo?  (Ver evento potencial principal en Columna F. Relacionar detalles de la materialización - que, como, cuando, donde):
</t>
    </r>
    <r>
      <rPr>
        <sz val="11"/>
        <color theme="1"/>
        <rFont val="Arial Narrow"/>
        <family val="2"/>
      </rPr>
      <t>No se evidencia la materialización del evento potencial principal. Durante el período evaluado no se presentaron diferencias no justificadas en las operaciones recíprocas.</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Los controles asociados a la conciliación de operaciones recíprocas, la elaboración de informes, la circularización y el reporte permiten validar la consistencia de la información con las entidades relacionadas.
Durante el período se realizaron actividades de conciliación con base en los saldos de diciembre de 2025, evidenciadas en las actas y en el informe de gestión del trimestre.
En este sentido, los controles son coherentes y contribuyen a mitigar el riesgo.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No aplica, dado que el riesgo no se materializó. Se mantienen los controles establecidos para su mitigación.</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continúa con la ejecución de las actividades de conciliación, circularización y reporte de operaciones recíprocas. Para el trimestre ENE-MAR 2026, se solicitó la información a las entidades y se tiene programada la elaboración de las actas de conciliación entre finales de abril y el mes de mayo.</t>
    </r>
  </si>
  <si>
    <r>
      <t xml:space="preserve">Se materializó el Riesgo?  (Ver evento potencial principal en Columna F. Relacionar detalles de la materialización - que, como, cuando, donde):
</t>
    </r>
    <r>
      <rPr>
        <sz val="11"/>
        <color theme="1"/>
        <rFont val="Arial Narrow"/>
        <family val="2"/>
      </rPr>
      <t>No se evidencia la materialización del evento potencial principal</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El control de conciliación entre la información contable y los inventarios físicos, así como la solicitud de información a las áreas de Planeación y Jurídica, permite identificar y gestionar las diferencias presentadas.
En este sentido, los controles son coherentes y contribuyen a mitigar el riesgo, aunque se encuentran en proceso de depuración de las diferencias identificadas.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No aplica, dado que el riesgo no se materializó.</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continúan realizando las conciliaciones y la gestión de información con las áreas de Planeación y Jurídica para la depuración de las diferencias.</t>
    </r>
  </si>
  <si>
    <r>
      <t xml:space="preserve">Se materializó el Riesgo?  (Ver evento potencial principal en Columna F. Relacionar detalles de la materialización - que, como, cuando, donde):
</t>
    </r>
    <r>
      <rPr>
        <sz val="11"/>
        <color theme="1"/>
        <rFont val="Arial Narrow"/>
        <family val="2"/>
      </rPr>
      <t xml:space="preserve">No se evidencia materialización del evento potencial principal.Se han rendido oportunamente los informes de Ley. </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diseñados y son coherentes en su aplicación al proceso.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No aplica, dado que el riesgo no se materializó. Se mantienen los controles establecidos para su mitigación.</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continúan realizando los controles mencionados para mitigar el riesgo</t>
    </r>
  </si>
  <si>
    <r>
      <t xml:space="preserve">Se materializó el Riesgo?  (Ver evento potencial principal en Columna F. Relacionar detalles de la materialización - que, como, cuando, donde):
</t>
    </r>
    <r>
      <rPr>
        <sz val="11"/>
        <color theme="1"/>
        <rFont val="Arial Narrow"/>
        <family val="2"/>
      </rPr>
      <t>No se evidencia materialización del evento potencial principal. Se realizó una correcta asignación presupuestal que cumple con los parámetros legales y contractuales establecidos.</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Las medidas de control para este riesgo están bien diseñadas y se aplican de acuerdo con el proceso. El profesional de apoyo a presupuesto valida que la asignación esté conforme con la normativa; adicionalmente, se verifica que cuente con la idoneidad y las competencias requeridas para el desarrollo de sus funciones. Así mismo, se implementan estrategias y metodologías que contribuyen a una adecuada planeación y ejecución presupuestal.</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 xml:space="preserve">No aplica, dado que el riesgo no se materializó.
</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mantiene la validación de la asignación presupuestal conforme a la normativa vigente y la verificación de la idoneidad y competencias del profesional responsable. Adicionalmente, se vienen implementando estrategias y metodologías orientadas a fortalecer la planeación y ejecución presupuestal.</t>
    </r>
  </si>
  <si>
    <r>
      <t xml:space="preserve">Se materializó el Riesgo?  (Ver evento potencial principal en Columna F. Relacionar detalles de la materialización - que, como, cuando, donde):
</t>
    </r>
    <r>
      <rPr>
        <sz val="11"/>
        <color theme="1"/>
        <rFont val="Arial Narrow"/>
        <family val="2"/>
      </rPr>
      <t>No se evidencia la materialización del evento potencial principal. Durante el período evaluado, se generaron alertas oportunas sobre la ejecución presupuestal, lo que permitió realizar seguimiento y control adecuado.</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El control relacionado con la validación de la asignación presupuestal conforme a la normativa,. Adicionalmente, la generación de alertas a través de informes mensuales, memorandos y espacios de socialización en el Comité Financiero fortalece el seguimiento a la ejecución presupuestal.
En este sentido, los controles son coherentes y contribuyen a mitigar el riesgo.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 xml:space="preserve">No aplica, dado que el riesgo no se materializó. Se mantienen los controles establecidos, especialmente la generación de alertas oportunas para el seguimiento de la ejecución presupuestal.
</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mantiene la generación de alertas a través de los informes de ejecución presupuestal mensual, memorandos y socialización en el Comité Financiero.</t>
    </r>
  </si>
  <si>
    <r>
      <t xml:space="preserve">Se materializó el Riesgo?  (Ver evento potencial principal en Columna F. Relacionar detalles de la materialización - que, como, cuando, donde):
</t>
    </r>
    <r>
      <rPr>
        <sz val="11"/>
        <color theme="1"/>
        <rFont val="Arial Narrow"/>
        <family val="2"/>
      </rPr>
      <t>No se evidencia materialización del evento potencial principal. No se han realizado traslados presupuestales por rubros deficitados sin justificación válida.</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El área de presupuesto brinda asesoría y orientación a las dependencias para una adecuada proyección de recursos. Así mismo, el profesional de presupuesto verifica que las proyecciones del anteproyecto se realicen conforme a los lineamientos del Distrito, considerando información histórica y variables macroeconómicas como IPC y tasas de interés.
En este sentido, los controles son coherentes y contribuyen a mitigar el riesgo.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No aplica, dado que el riesgo no se materializó. Se mantienen los controles establecidos para su mitigación.</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mantienen los controles establecidos y su aplicación conforme al proceso.</t>
    </r>
  </si>
  <si>
    <r>
      <t xml:space="preserve">Se materializó el Riesgo?  (Ver evento potencial principal en Columna F. Relacionar detalles de la materialización - que, como, cuando, donde):
</t>
    </r>
    <r>
      <rPr>
        <sz val="11"/>
        <rFont val="Arial Narrow"/>
        <family val="2"/>
      </rPr>
      <t>No se evidencia la materialización del evento potencial principal. Durante el período evaluado, el pago de las comisiones fiduciarias se realizó conforme a los términos establecidos en el contrato fiduciario.</t>
    </r>
    <r>
      <rPr>
        <b/>
        <sz val="11"/>
        <rFont val="Arial Narrow"/>
        <family val="2"/>
      </rPr>
      <t xml:space="preserve">
Los Controles están bien  diseñados, se aplican de acuerdo al diseño  y son efectivos? (Ver controles en la columna P / Concluir frente a cada control)
</t>
    </r>
    <r>
      <rPr>
        <sz val="11"/>
        <rFont val="Arial Narrow"/>
        <family val="2"/>
      </rPr>
      <t xml:space="preserve">Las medidas de control para este riesgo están bien diseñadas y se aplican de acuerdo con el proceso.
Los controles establecidos permiten una adecuada gestión desde la recepción y radicación de las facturas, su verificación conforme al calendario financiero, la validación de la comisión frente a lo pactado contractualmente, así como su causación y pago en los tiempos definidos. Adicionalmente, se realiza seguimiento a los pagos mediante herramientas de control que permiten verificar su cumplimiento.
En este sentido, los controles son coherentes y contribuyen a mitigar el riesgo.
</t>
    </r>
    <r>
      <rPr>
        <b/>
        <sz val="11"/>
        <rFont val="Arial Narrow"/>
        <family val="2"/>
      </rPr>
      <t xml:space="preserve">
Que acciones propones o se están llevando a cabo para gestionar el riesgo que se materializó? (Si no aplica colocar N/A)
</t>
    </r>
    <r>
      <rPr>
        <sz val="11"/>
        <rFont val="Arial Narrow"/>
        <family val="2"/>
      </rPr>
      <t xml:space="preserve">No aplica, dado que el riesgo no se materializó. Se mantienen los controles establecidos para su mitigación.
</t>
    </r>
    <r>
      <rPr>
        <b/>
        <sz val="1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rFont val="Arial Narrow"/>
        <family val="2"/>
      </rPr>
      <t>Se mantienen los controles establecidos y su aplicación conforme al proceso.</t>
    </r>
  </si>
  <si>
    <r>
      <t xml:space="preserve">Se materializó el Riesgo?  (Ver evento potencial principal en Columna F. Relacionar detalles de la materialización - que, como, cuando, donde):
</t>
    </r>
    <r>
      <rPr>
        <sz val="11"/>
        <rFont val="Arial Narrow"/>
        <family val="2"/>
      </rPr>
      <t xml:space="preserve">No se evidencia la materialización del evento potencial principal. Durante el período evaluado, los pagos realizados en el desarrollo de los contratos fiduciarios se encuentran debidamente soportados.
</t>
    </r>
    <r>
      <rPr>
        <b/>
        <sz val="11"/>
        <rFont val="Arial Narrow"/>
        <family val="2"/>
      </rPr>
      <t xml:space="preserve">
Los Controles están bien  diseñados, se aplican de acuerdo al diseño  y son efectivos? (Ver controles en la columna P / Concluir frente a cada control)
</t>
    </r>
    <r>
      <rPr>
        <sz val="11"/>
        <rFont val="Arial Narrow"/>
        <family val="2"/>
      </rPr>
      <t xml:space="preserve">Las medidas de control para este riesgo están bien diseñadas y se aplican de acuerdo con el proceso.
Los controles asociados a la revisión de la solicitud de pago y su correcta formalización permiten validar que la información esté completa, con las firmas autorizadas y en concordancia con los anexos. Así mismo, la verificación de los requisitos legales por parte de las áreas involucradas asegura el cumplimiento de la normatividad aplicable.
En este sentido, los controles son coherentes y contribuyen a mitigar el riesgo.
</t>
    </r>
    <r>
      <rPr>
        <b/>
        <sz val="11"/>
        <rFont val="Arial Narrow"/>
        <family val="2"/>
      </rPr>
      <t xml:space="preserve">
</t>
    </r>
    <r>
      <rPr>
        <sz val="11"/>
        <rFont val="Arial Narrow"/>
        <family val="2"/>
      </rPr>
      <t xml:space="preserve">Que acciones propones o se están llevando a cabo para gestionar el riesgo que se materializó? (Si no aplica colocar N/A)
No aplica, dado que el riesgo no se materializó. Se mantienen los controles establecidos para su mitigación.
</t>
    </r>
    <r>
      <rPr>
        <b/>
        <sz val="1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rFont val="Arial Narrow"/>
        <family val="2"/>
      </rPr>
      <t>Se mantienen los controles establecidos y su aplicación conforme al proceso.</t>
    </r>
  </si>
  <si>
    <r>
      <t xml:space="preserve">Se materializó el Riesgo?  (Ver evento potencial principal en Columna F. Relacionar detalles de la materialización - que, como, cuando, donde):
</t>
    </r>
    <r>
      <rPr>
        <sz val="11"/>
        <rFont val="Arial Narrow"/>
        <family val="2"/>
      </rPr>
      <t>No se evidencia la materialización del evento potencial principal. Durante el período evaluado, se realizó el reintegro de los rendimientos financieros de las cuentas fiduciarias de manera oportuna y conforme a la normatividad aplicable.</t>
    </r>
    <r>
      <rPr>
        <b/>
        <sz val="11"/>
        <rFont val="Arial Narrow"/>
        <family val="2"/>
      </rPr>
      <t xml:space="preserve">
Los Controles están bien  diseñados, se aplican de acuerdo al diseño  y son efectivos? (Ver controles en la columna P / Concluir frente a cada control)
</t>
    </r>
    <r>
      <rPr>
        <sz val="11"/>
        <rFont val="Arial Narrow"/>
        <family val="2"/>
      </rPr>
      <t xml:space="preserve">Las medidas de control para este riesgo están bien diseñadas y se aplican de acuerdo con el proceso.
Los controles permiten la identificación y verificación de los rendimientos financieros a partir de los extractos bancarios, así como su registro y seguimiento. Adicionalmente, mediante la conciliación de los valores reintegrados frente a los registrados, se gestionan oportunamente las diferencias, asegurando su respectivo reintegro conforme a los lineamientos establecidos.
En este sentido, los controles son coherentes y contribuyen a mitigar el riesgo.
</t>
    </r>
    <r>
      <rPr>
        <b/>
        <sz val="11"/>
        <rFont val="Arial Narrow"/>
        <family val="2"/>
      </rPr>
      <t xml:space="preserve">
Que acciones propones o se están llevando a cabo para gestionar el riesgo que se materializó? (Si no aplica colocar N/A)
</t>
    </r>
    <r>
      <rPr>
        <sz val="11"/>
        <rFont val="Arial Narrow"/>
        <family val="2"/>
      </rPr>
      <t>No aplica, dado que el riesgo no se materializó. Se mantienen los controles establecidos para su mitigación.</t>
    </r>
    <r>
      <rPr>
        <b/>
        <sz val="1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rFont val="Arial Narrow"/>
        <family val="2"/>
      </rPr>
      <t>Se mantienen los controles establecidos y su aplicación conforme al proceso.</t>
    </r>
  </si>
  <si>
    <r>
      <t xml:space="preserve">Se materializó el Riesgo?  (Ver evento potencial principal en Columna F. Relacionar detalles de la materialización - que, como, cuando, donde):
</t>
    </r>
    <r>
      <rPr>
        <sz val="11"/>
        <rFont val="Arial Narrow"/>
        <family val="2"/>
      </rPr>
      <t>No se evidencia la materialización del evento potencial principal. Durante el período evaluado no se presentaron diferencias no justificadas entre los saldos de las cuentas fiduciarias y lo registrado en contabilidad.</t>
    </r>
    <r>
      <rPr>
        <b/>
        <sz val="11"/>
        <rFont val="Arial Narrow"/>
        <family val="2"/>
      </rPr>
      <t xml:space="preserve">
Los Controles están bien  diseñados, se aplican de acuerdo al diseño  y son efectivos? (Ver controles en la columna P / Concluir frente a cada control)
</t>
    </r>
    <r>
      <rPr>
        <sz val="11"/>
        <rFont val="Arial Narrow"/>
        <family val="2"/>
      </rPr>
      <t xml:space="preserve">Las medidas de control para este riesgo están bien diseñadas y se aplican de acuerdo con el proceso.
Los controles permiten la consolidación mensual de los extractos bancarios, el diligenciamiento de formatos de conciliación y el cruce de información con contabilidad. Así mismo, en caso de presentarse diferencias, estas son identificadas, analizadas y gestionadas, y posteriormente remitidas para revisión y aprobación por las áreas correspondientes.
En este sentido, los controles son coherentes y contribuyen a mitigar el riesgo.
</t>
    </r>
    <r>
      <rPr>
        <b/>
        <sz val="11"/>
        <rFont val="Arial Narrow"/>
        <family val="2"/>
      </rPr>
      <t xml:space="preserve">
Que acciones propones o se están llevando a cabo para gestionar el riesgo que se materializó? (Si no aplica colocar N/A)
</t>
    </r>
    <r>
      <rPr>
        <sz val="11"/>
        <rFont val="Arial Narrow"/>
        <family val="2"/>
      </rPr>
      <t xml:space="preserve">No aplica, dado que el riesgo no se materializó. Se mantienen los controles establecidos para su mitigación.
</t>
    </r>
    <r>
      <rPr>
        <b/>
        <sz val="1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rFont val="Arial Narrow"/>
        <family val="2"/>
      </rPr>
      <t>Se mantienen los controles establecidos y su aplicación conforme al proceso.</t>
    </r>
  </si>
  <si>
    <r>
      <t xml:space="preserve">Se materializó el Riesgo?  (Ver evento potencial principal en Columna F. Relacionar detalles de la materialización - que, como, cuando, donde):
</t>
    </r>
    <r>
      <rPr>
        <sz val="11"/>
        <rFont val="Arial Narrow"/>
        <family val="2"/>
      </rPr>
      <t xml:space="preserve">No se evidencia la materialización del evento potencial principal. Durante el período evaluado, la información financiera asociada a los contratos en proceso de liquidación ha sido consistente con los documentos soporte.
</t>
    </r>
    <r>
      <rPr>
        <b/>
        <sz val="11"/>
        <rFont val="Arial Narrow"/>
        <family val="2"/>
      </rPr>
      <t xml:space="preserve">
Los Controles están bien  diseñados, se aplican de acuerdo al diseño  y son efectivos? (Ver controles en la columna P / Concluir frente a cada control)
</t>
    </r>
    <r>
      <rPr>
        <sz val="11"/>
        <rFont val="Arial Narrow"/>
        <family val="2"/>
      </rPr>
      <t xml:space="preserve">Las medidas de control para este riesgo están bien diseñadas y se aplican de acuerdo con el proceso.
Los controles permiten contar con la proyección del acta de liquidación con sus respectivos componentes y soportes, así como la validación del componente financiero mediante la verificación de la información frente a los movimientos y saldos de los extractos bancarios. Así mismo, se realiza análisis de posibles diferencias con base en la información contractual y matrices de control.
En este sentido, los controles son coherentes y contribuyen a mitigar el riesgo.
</t>
    </r>
    <r>
      <rPr>
        <b/>
        <sz val="11"/>
        <rFont val="Arial Narrow"/>
        <family val="2"/>
      </rPr>
      <t xml:space="preserve">
Que acciones propones o se están llevando a cabo para gestionar el riesgo que se materializó? (Si no aplica colocar N/A)
</t>
    </r>
    <r>
      <rPr>
        <sz val="11"/>
        <rFont val="Arial Narrow"/>
        <family val="2"/>
      </rPr>
      <t xml:space="preserve">No aplica, dado que el riesgo no se materializó. Se mantienen los controles establecidos para su mitigación.
</t>
    </r>
    <r>
      <rPr>
        <b/>
        <sz val="1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rFont val="Arial Narrow"/>
        <family val="2"/>
      </rPr>
      <t>Se mantienen los controles establecidos y su aplicación conforme al proceso.</t>
    </r>
  </si>
  <si>
    <r>
      <t xml:space="preserve">Se materializó el Riesgo?  (Ver evento potencial principal en Columna F. Relacionar detalles de la materialización - que, como, cuando, donde):
</t>
    </r>
    <r>
      <rPr>
        <sz val="11"/>
        <rFont val="Arial Narrow"/>
        <family val="2"/>
      </rPr>
      <t>No se evidencia la materialización del evento potencial principal. Durante el período evaluado no se realizaron pagos utilizando recursos de patrimonios autónomos no asignados a un proyecto específico.</t>
    </r>
    <r>
      <rPr>
        <b/>
        <sz val="11"/>
        <rFont val="Arial Narrow"/>
        <family val="2"/>
      </rPr>
      <t xml:space="preserve">
Los Controles están bien  diseñados, se aplican de acuerdo al diseño  y son efectivos? (Ver controles en la columna P / Concluir frente a cada control)
</t>
    </r>
    <r>
      <rPr>
        <sz val="11"/>
        <rFont val="Arial Narrow"/>
        <family val="2"/>
      </rPr>
      <t xml:space="preserve">Las medidas de control para este riesgo están bien diseñadas y se aplican de acuerdo con el proceso.
Los controles permiten el seguimiento integral a los patrimonios autónomos matriz (PAM) y derivados (PAD), mediante la verificación de saldos, movimientos, rendimientos y demás conceptos asociados. Así mismo, el uso de informes de supervisión y matrices de control facilita la identificación y control de los recursos por proyecto.
En este sentido, los controles son coherentes y contribuyen a mitigar el riesgo.
</t>
    </r>
    <r>
      <rPr>
        <b/>
        <sz val="11"/>
        <rFont val="Arial Narrow"/>
        <family val="2"/>
      </rPr>
      <t xml:space="preserve">
Que acciones propones o se están llevando a cabo para gestionar el riesgo que se materializó? (Si no aplica colocar N/A)
</t>
    </r>
    <r>
      <rPr>
        <sz val="11"/>
        <rFont val="Arial Narrow"/>
        <family val="2"/>
      </rPr>
      <t>No aplica, dado que el riesgo no se materializó. Se mantienen los controles establecidos para su mitigación.</t>
    </r>
    <r>
      <rPr>
        <b/>
        <sz val="1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rFont val="Arial Narrow"/>
        <family val="2"/>
      </rPr>
      <t>Se mantienen los controles establecidos y su aplicación conforme al proceso.</t>
    </r>
  </si>
  <si>
    <r>
      <t xml:space="preserve">Se materializó el Riesgo?  (Ver evento potencial principal en Columna F. Relacionar detalles de la materialización - que, como, cuando, donde):
</t>
    </r>
    <r>
      <rPr>
        <sz val="11"/>
        <color theme="1"/>
        <rFont val="Arial Narrow"/>
        <family val="2"/>
      </rPr>
      <t>No se evidenció materialización del riesgo. La cartera en mora mayor a 6 cuotas vencidas disminuyó de $404.748.481 a $396.544.997, reflejando una reducción de $8.203.484 (0,39%), lo que indica una tendencia favorable.</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Se han materializado algunos eventos potenciales intermedios, los cuales son inherentes al proceso y al objeto social de la Entidad, debido al tipo de población con la que se trabaja,  se resalta que se han tenido avances que promueven una mejora significativa en el proceso de cartera.</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 xml:space="preserve">Si bien no se materializó el riesgo se siguen implementando los controles debido a la particularidad de la cartera de la entidad.
</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han establecido acciones correctivas derivadas del seguimiento de este riesgo. Adicionalmente, se ha realizado un seguimiento mensual a dichas acciones (105, 106), las cuales están orientadas a mejorar los procesos del área de cartera y, de esta manera, contribuir significativamente al correcto funcionamiento de la cartera de la Entidad.  De igual manera, actualmente se está desarrollando un plan de contacto con los deudores mediante la circularización de la cartera por medio de comunicaciones a domicilio y llamadas telefónicas a fin de transmitir la importancia de ponerse al día y evitar cobros jurídicos.</t>
    </r>
  </si>
  <si>
    <r>
      <t xml:space="preserve">Se materializó el Riesgo?  (Ver evento potencial principal en Columna F. Relacionar detalles de la materialización - que, como, cuando, donde):
</t>
    </r>
    <r>
      <rPr>
        <sz val="11"/>
        <color theme="1"/>
        <rFont val="Arial Narrow"/>
        <family val="2"/>
      </rPr>
      <t>No se evidenció materialización del riesgo. La cartera menor a 6 cuotas vencidas presentó una disminución, pasando de $340 millones (diciembre 2025) a $292 millones (marzo 2026), reflejando una tendencia de reducción en el capital.</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Los controles permiten la actualización de la información de los deudores, la gestión de cobro mediante circularización de cartera y el uso de diferentes canales de comunicación, así como la implementación de alternativas de pago como la refinanciación, previa validación en el Comité de Cartera.
No obstante, debido a que se trata de una cartera de carácter particular, su gestión depende en gran medida de la capacidad y voluntad de pago de los deudores, lo que puede incidir en la efectividad de los controles implementados.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 xml:space="preserve">No aplica, dado que el riesgo no se materializó. Se están implementando los controles establecidos para este riesgo para su gestión y mitigación.
</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han establecido acciones correctivas derivadas del seguimiento de este riesgo. Adicionalmente, se ha realizado un seguimiento mensual a dichas acciones (105, 106), las cuales están orientadas a mejorar los procesos del área de cartera y, de esta manera, contribuir significativamente al correcto funcionamiento de la cartera de la Entidad.  De igual manera, actualmente se está desarrollando un plan de contacto con los deudores mediante la circularización de la cartera por medio de comunicaciones a domicilio y llamadas telefónicas a fin de transmitir la importancia de ponerse al día y evitar cobros jurídicos.</t>
    </r>
  </si>
  <si>
    <t>https://isvimedgovco.sharepoint.com/:f:/s/1Admin_Y_Financiera/IgCsojgZ1oSPQLAtK0yc-mNzAb8cABpLn_42Hza6Gmluo6E?e=ZgJq4E</t>
  </si>
  <si>
    <t>MAPA DE CALOR INHERENTE (ANTES DE CONTROLES)</t>
  </si>
  <si>
    <t>MAPA DE CALOR RIESGO INHERENTE</t>
  </si>
  <si>
    <t>CALIFICACIÓN RIESGO INHERENTE</t>
  </si>
  <si>
    <t>No. DEL RIESGO</t>
  </si>
  <si>
    <t>RIESGO</t>
  </si>
  <si>
    <t>PROBABILIDAD</t>
  </si>
  <si>
    <t>SEVERIDAD (NIVEL DE RIESGO)</t>
  </si>
  <si>
    <t>NIVELES DE RIESGO</t>
  </si>
  <si>
    <t>MAPA DE CALOR RESIDUAL (DESPUES DE CONTROLES)</t>
  </si>
  <si>
    <t>MAPA DE CALOR RIESGO RESIDUAL</t>
  </si>
  <si>
    <t>CALIFICACIÓN RIESGO RESIDUAL</t>
  </si>
  <si>
    <t>No. Riesgo</t>
  </si>
  <si>
    <t>Severidad 
(Nivel de Riesgo)</t>
  </si>
  <si>
    <t>MAPA DE CALOR INHERENTE Y RESIDUAL</t>
  </si>
  <si>
    <t xml:space="preserve">                   </t>
  </si>
  <si>
    <t>PERFIL DE RIESGO DEL 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</si>
  <si>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</si>
  <si>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</si>
  <si>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</si>
  <si>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</si>
  <si>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</si>
  <si>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</si>
  <si>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</si>
  <si>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</si>
  <si>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</si>
  <si>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</si>
  <si>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</si>
  <si>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</si>
  <si>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Total Riesgos Críticos</t>
  </si>
  <si>
    <t>GF34</t>
  </si>
  <si>
    <t xml:space="preserve">* https://isvimedgovco.sharepoint.com/:f:/s/Admin_Y_Financiera-Contabilidad/IgCeynrbmWA7TIWLr2NCIdVlAd7dAFu8v4Hv1m_I5gMCLlw?e=agaQia
*P:\1.ADMIN_Y_FINANCIERA\Comprobantes\Soportes 2026
 </t>
  </si>
  <si>
    <t>* https://isvimedgovco.sharepoint.com/:f:/s/Admin_Y_Financiera-Contabilidad/IgCeynrbmWA7TIWLr2NCIdVlAd7dAFu8v4Hv1m_I5gMCLlw?e=agaQia
*https://isvimedgovco.sharepoint.com/:f:/s/1Admin_Y_Financiera/IgAnXS-OW2KeRqLnxS5tWw05Ac32j_2rgF02JZtbOv9lVlU?e=lswoTR</t>
  </si>
  <si>
    <r>
      <t xml:space="preserve">Se materializó el Riesgo?  (Ver evento potencial principal en Columna F. Relacionar detalles de la materialización - que, como, cuando, donde):
</t>
    </r>
    <r>
      <rPr>
        <sz val="11"/>
        <color rgb="FF000000"/>
        <rFont val="Arial Narrow"/>
        <family val="2"/>
      </rPr>
      <t xml:space="preserve">No se evidencia la materialización del evento potencial principal. Durante el período evaluado se dio cumplimiento a los pagos conforme al PAC proyectado de gastos.
</t>
    </r>
    <r>
      <rPr>
        <b/>
        <sz val="11"/>
        <color rgb="FF000000"/>
        <rFont val="Arial Narrow"/>
        <family val="2"/>
      </rPr>
      <t xml:space="preserve">
Los Controles están bien  diseñados, se aplican de acuerdo al diseño  y son efectivos? (Ver controles en la columna P / Concluir frente a cada control)
</t>
    </r>
    <r>
      <rPr>
        <sz val="11"/>
        <color rgb="FF000000"/>
        <rFont val="Arial Narrow"/>
        <family val="2"/>
      </rPr>
      <t xml:space="preserve">Las medidas de control para este riesgo están bien diseñadas y se aplican de acuerdo con el proceso.
Los controles establecidos permiten la adecuada planificación y ejecución de los pagos, mediante la definición del cronograma de cierre financiero, la validación de soportes, la verificación de la disponibilidad de recursos y el seguimiento periódico a la programación de pagos.
En este sentido, los controles son coherentes y contribuyen a mitigar el riesgo.
</t>
    </r>
    <r>
      <rPr>
        <b/>
        <sz val="11"/>
        <color rgb="FF000000"/>
        <rFont val="Arial Narrow"/>
        <family val="2"/>
      </rPr>
      <t xml:space="preserve">
Que acciones propones o se están llevando a cabo para gestionar el riesgo que se materializó? (Si no aplica colocar N/A)
</t>
    </r>
    <r>
      <rPr>
        <sz val="11"/>
        <color rgb="FF000000"/>
        <rFont val="Arial Narrow"/>
        <family val="2"/>
      </rPr>
      <t>No aplica, dado que el riesgo no se materializó. Se mantienen los controles establecidos para su mitigación.</t>
    </r>
    <r>
      <rPr>
        <b/>
        <sz val="11"/>
        <color rgb="FF000000"/>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rgb="FF000000"/>
        <rFont val="Arial Narrow"/>
        <family val="2"/>
      </rPr>
      <t>Se mantiene la aplicación de los controles establecidos y el seguimiento a la programación y ejecución de pagos</t>
    </r>
    <r>
      <rPr>
        <b/>
        <sz val="11"/>
        <color rgb="FF000000"/>
        <rFont val="Arial Narrow"/>
        <family val="2"/>
      </rPr>
      <t>.</t>
    </r>
  </si>
  <si>
    <t>*P:\1.ADMIN_Y_FINANCIERA\Comprobantes\Soportes 2026
*https://isvimedgovco.sharepoint.com/:f:/s/1Admin_Y_Financiera/IgCUSNgVv0r7RY8aHPqv9DmtAX5Y1QH-cihTz2xkHt2WodY?e=vRQ0aZ</t>
  </si>
  <si>
    <r>
      <t xml:space="preserve">Se materializó el Riesgo?  (Ver evento potencial principal en Columna F. Relacionar detalles de la materialización - que, como, cuando, donde):
</t>
    </r>
    <r>
      <rPr>
        <sz val="11"/>
        <color theme="1"/>
        <rFont val="Arial Narrow"/>
        <family val="2"/>
      </rPr>
      <t xml:space="preserve">No se evidenció materialización del riesgo.Se evidencia una disminución en el saldo total de la cartera morosa con más de seis cuotas de mora (180 días). Al cierre del primer trimestre del año, la cartera registraba un saldo de </t>
    </r>
    <r>
      <rPr>
        <b/>
        <sz val="11"/>
        <color theme="1"/>
        <rFont val="Arial Narrow"/>
        <family val="2"/>
      </rPr>
      <t xml:space="preserve">$1.653.554.922, </t>
    </r>
    <r>
      <rPr>
        <sz val="11"/>
        <color theme="1"/>
        <rFont val="Arial Narrow"/>
        <family val="2"/>
      </rPr>
      <t xml:space="preserve">correspondiente a </t>
    </r>
    <r>
      <rPr>
        <b/>
        <sz val="11"/>
        <color theme="1"/>
        <rFont val="Arial Narrow"/>
        <family val="2"/>
      </rPr>
      <t xml:space="preserve">192 </t>
    </r>
    <r>
      <rPr>
        <sz val="11"/>
        <color theme="1"/>
        <rFont val="Arial Narrow"/>
        <family val="2"/>
      </rPr>
      <t xml:space="preserve">obligaciones. Para el cierre del segundo trimestre, el saldo disminuyó a </t>
    </r>
    <r>
      <rPr>
        <b/>
        <sz val="11"/>
        <color theme="1"/>
        <rFont val="Arial Narrow"/>
        <family val="2"/>
      </rPr>
      <t>$1.626.840.526</t>
    </r>
    <r>
      <rPr>
        <sz val="11"/>
        <color theme="1"/>
        <rFont val="Arial Narrow"/>
        <family val="2"/>
      </rPr>
      <t xml:space="preserve">, con </t>
    </r>
    <r>
      <rPr>
        <b/>
        <sz val="11"/>
        <color theme="1"/>
        <rFont val="Arial Narrow"/>
        <family val="2"/>
      </rPr>
      <t>187</t>
    </r>
    <r>
      <rPr>
        <sz val="11"/>
        <color theme="1"/>
        <rFont val="Arial Narrow"/>
        <family val="2"/>
      </rPr>
      <t xml:space="preserve"> obligaciones.</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Se han materializado algunos eventos potenciales intermedios, los cuales son inherentes al proceso y al objeto social de la Entidad, debido al tipo de población con la que se trabaja,  se resalta que se han tenido avances que promueven una mejora significativa en el proceso de cartera.</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 xml:space="preserve">Si bien no se materializó el riesgo se siguen implementando los controles debido a la particularidad de la cartera de la entidad.
</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han establecido acciones correctivas derivadas del seguimiento de este riesgo. Adicionalmente, se ha realizado un seguimiento mensual a dichas acciones (105, 106), las cuales están orientadas a mejorar los procesos del área de cartera y, de esta manera, contribuir significativamente al correcto funcionamiento de la cartera de la Entidad.  De igual manera, actualmente se está desarrollando un plan de contacto con los deudores mediante la circularización de la cartera por medio de comunicaciones a domicilio y llamadas telefónicas a fin de transmitir la importancia de ponerse al día y evitar cobros jurídicos.</t>
    </r>
  </si>
  <si>
    <r>
      <t xml:space="preserve">Se materializó el Riesgo?  (Ver evento potencial principal en Columna F. Relacionar detalles de la materialización - que, como, cuando, donde):
</t>
    </r>
    <r>
      <rPr>
        <sz val="11"/>
        <color theme="1"/>
        <rFont val="Arial Narrow"/>
        <family val="2"/>
      </rPr>
      <t xml:space="preserve">No se evidenció materialización del riesgo.La cartera con mora inferior a seis cuotas vencidas (menos de 180 días) presenta una recuperación. Al cierre del primer trimestre registraba un saldo de </t>
    </r>
    <r>
      <rPr>
        <b/>
        <sz val="11"/>
        <color theme="1"/>
        <rFont val="Arial Narrow"/>
        <family val="2"/>
      </rPr>
      <t>$292.212.764</t>
    </r>
    <r>
      <rPr>
        <sz val="11"/>
        <color theme="1"/>
        <rFont val="Arial Narrow"/>
        <family val="2"/>
      </rPr>
      <t xml:space="preserve">, correspondiente a </t>
    </r>
    <r>
      <rPr>
        <b/>
        <sz val="11"/>
        <color theme="1"/>
        <rFont val="Arial Narrow"/>
        <family val="2"/>
      </rPr>
      <t>162</t>
    </r>
    <r>
      <rPr>
        <sz val="11"/>
        <color theme="1"/>
        <rFont val="Arial Narrow"/>
        <family val="2"/>
      </rPr>
      <t xml:space="preserve"> obligaciones, mientras que al cierre del segundo trimestre el saldo disminuyó a</t>
    </r>
    <r>
      <rPr>
        <b/>
        <sz val="11"/>
        <color theme="1"/>
        <rFont val="Arial Narrow"/>
        <family val="2"/>
      </rPr>
      <t xml:space="preserve"> $256.780.367</t>
    </r>
    <r>
      <rPr>
        <sz val="11"/>
        <color theme="1"/>
        <rFont val="Arial Narrow"/>
        <family val="2"/>
      </rPr>
      <t xml:space="preserve">, con </t>
    </r>
    <r>
      <rPr>
        <b/>
        <sz val="11"/>
        <color theme="1"/>
        <rFont val="Arial Narrow"/>
        <family val="2"/>
      </rPr>
      <t>141</t>
    </r>
    <r>
      <rPr>
        <sz val="11"/>
        <color theme="1"/>
        <rFont val="Arial Narrow"/>
        <family val="2"/>
      </rPr>
      <t xml:space="preserve"> obligaciones.
Esta variación representa una disminución de </t>
    </r>
    <r>
      <rPr>
        <b/>
        <sz val="11"/>
        <color theme="1"/>
        <rFont val="Arial Narrow"/>
        <family val="2"/>
      </rPr>
      <t>$35.432.397</t>
    </r>
    <r>
      <rPr>
        <sz val="11"/>
        <color theme="1"/>
        <rFont val="Arial Narrow"/>
        <family val="2"/>
      </rPr>
      <t xml:space="preserve">, equivalente al </t>
    </r>
    <r>
      <rPr>
        <b/>
        <sz val="11"/>
        <color theme="1"/>
        <rFont val="Arial Narrow"/>
        <family val="2"/>
      </rPr>
      <t>12,13 %</t>
    </r>
    <r>
      <rPr>
        <sz val="11"/>
        <color theme="1"/>
        <rFont val="Arial Narrow"/>
        <family val="2"/>
      </rPr>
      <t xml:space="preserve"> del saldo de la cartera, así como una reducción de </t>
    </r>
    <r>
      <rPr>
        <b/>
        <sz val="11"/>
        <color theme="1"/>
        <rFont val="Arial Narrow"/>
        <family val="2"/>
      </rPr>
      <t>2</t>
    </r>
    <r>
      <rPr>
        <sz val="11"/>
        <color theme="1"/>
        <rFont val="Arial Narrow"/>
        <family val="2"/>
      </rPr>
      <t>1 obligaciones.
Es importante resaltar que esta disminución no obedece al rodamiento de la cartera hacia la franja de mora superior a 180 días, ya que dicha cartera también presentó una reducción tanto en saldo como en número de obligaciones durante el mismo periodo. En consecuencia, el comportamiento observado evidencia una recuperación efectiva de la cartera en ambas franjas de mora, resultado de las gestiones de cobro y recaudo realizadas.</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Los controles permiten la actualización de la información de los deudores, la gestión de cobro mediante circularización de cartera y el uso de diferentes canales de comunicación, así como la implementación de alternativas de pago como la refinanciación, previa validación en el Comité de Cartera.
No obstante, debido a que se trata de una cartera de carácter particular, su gestión depende en gran medida de la capacidad y voluntad de pago de los deudores, lo que puede incidir en la efectividad de los controles implementados.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 xml:space="preserve">No aplica, dado que el riesgo no se materializó. Se están implementando los controles establecidos para este riesgo para su gestión y mitigación.
</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han establecido acciones correctivas derivadas del seguimiento de este riesgo. Adicionalmente, se ha realizado un seguimiento mensual a dichas acciones (105, 106), las cuales están orientadas a mejorar los procesos del área de cartera y, de esta manera, contribuir significativamente al correcto funcionamiento de la cartera de la Entidad.  De igual manera, actualmente se está desarrollando un plan de contacto con los deudores mediante la circularización de la cartera por medio de comunicaciones a domicilio y llamadas telefónicas a fin de transmitir la importancia de ponerse al día y evitar cobros jurídicos.</t>
    </r>
  </si>
  <si>
    <t>*https://isvimedgovco.sharepoint.com/:f:/s/1Admin_Y_Financiera/IgAFw-f2mmLqT7DTI1u46JZrAT39WqyHdsO6Nbd9xEvkCSI?e=e2QTyr
*https://isvimedgovco.sharepoint.com/:f:/s/Admin_Y_Financiera-10.Tesoreria/IgDpPhsdO7RWSYN0tSXX_Y2yAfuV26EQWYVhPw9zNgA5v4Q?e=AKPdZP</t>
  </si>
  <si>
    <t xml:space="preserve">
*Conciliaciones
:https://isvimedgovco.sharepoint.com/:f:/s/Admin_Y_Financiera-Contabilidad/IgCeynrbmWA7TIWLr2NCIdVlAd7dAFu8v4Hv1m_I5gMCLlw?e=1xYoe4
*https://isvimedgovco.sharepoint.com/:f:/s/1Admin_Y_Financiera/IgA1sVERu2yUR6DBuEPUUDbqAYNa1CniNbmKwNt3385x0Uw?e=bfgSHz</t>
  </si>
  <si>
    <t>*https://isvimedgovco.sharepoint.com/:f:/s/1Admin_Y_Financiera/IgA1sVERu2yUR6DBuEPUUDbqAYNa1CniNbmKwNt3385x0Uw?e=bfgSHz
*https://isvimedgovco.sharepoint.com/:f:/s/1Admin_Y_Financiera/IgA1sVERu2yUR6DBuEPUUDbqAYNa1CniNbmKwNt3385x0Uw?e=olktVR</t>
  </si>
  <si>
    <t>*https://isvimedgovco.sharepoint.com/:f:/s/Admin_Y_Financiera-Contabilidad/IgDuY099CpqxR5A04f9ZTFH-AcM5l1M6HGameU-4ymO-rEU?e=lMAxjD
*https://isvimedgovco.sharepoint.com/:f:/s/1Admin_Y_Financiera/IgA1sVERu2yUR6DBuEPUUDbqAYNa1CniNbmKwNt3385x0Uw?e=olktVR</t>
  </si>
  <si>
    <t>*https://isvimedgovco.sharepoint.com/:f:/s/Admin_Y_Financiera-Contabilidad/IgC9zTQu9Vp1QYV5yBmtYYMUAcz1FGCjlEKfy7qihG9duEU?e=hAMgaX</t>
  </si>
  <si>
    <t>*https://isvimedgovco.sharepoint.com/:f:/s/Admin_Y_Financiera-Contabilidad/IgDC2sBvCPT4R7LdHUDFoOjQAchVpfnAlUibaHNlJVS8Z9U?e=j7pGUA</t>
  </si>
  <si>
    <r>
      <t xml:space="preserve">Se materializó el Riesgo?  (Ver evento potencial principal en Columna F. Relacionar detalles de la materialización - que, como, cuando, donde):
</t>
    </r>
    <r>
      <rPr>
        <sz val="11"/>
        <color theme="1"/>
        <rFont val="Arial Narrow"/>
        <family val="2"/>
      </rPr>
      <t>No se evidencia la materialización del evento potencial principal. Durante el período evaluado no se presentaron diferencias no justificadas en las operaciones recíprocas.</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Los controles asociados a la conciliación de operaciones recíprocas, la elaboración de informes, la circularización y el reporte permiten validar la consistencia de la información con las entidades relacionadas.
En este sentido, los controles son coherentes y contribuyen a mitigar el riesgo.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No aplica, dado que el riesgo no se materializó. Se mantienen los controles establecidos para su mitigación.</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 xml:space="preserve">Se continúa con la ejecución de las actividades de conciliación, circularización y reporte de operaciones recíprocas. Normalmente las conciliaciones se realizan posterior al cierre del trimestre, por lo que se tienen evidencias de conciliaciones y actas del primer trimestre, para el segundo trimestre aún no se han terminado estas conciliaciones. </t>
    </r>
  </si>
  <si>
    <t>*https://isvimedgovco.sharepoint.com/:f:/s/Admin_Y_Financiera-Contabilidad/IgBJ3fjpNqk8SZXVDuig0XtjAVEpcT9_eGxBWtE36jBxjT4?e=7UzweD</t>
  </si>
  <si>
    <r>
      <t xml:space="preserve">Se materializó el Riesgo?  (Ver evento potencial principal en Columna F. Relacionar detalles de la materialización - que, como, cuando, donde):
</t>
    </r>
    <r>
      <rPr>
        <sz val="11"/>
        <color theme="1"/>
        <rFont val="Arial Narrow"/>
        <family val="2"/>
      </rPr>
      <t>No se evidencia la materialización del evento potencial principal</t>
    </r>
    <r>
      <rPr>
        <b/>
        <sz val="11"/>
        <color theme="1"/>
        <rFont val="Arial Narrow"/>
        <family val="2"/>
      </rPr>
      <t xml:space="preserve">
Los Controles están bien  diseñados, se aplican de acuerdo al diseño  y son efectivos? (Ver controles en la columna P / Concluir frente a cada control)
</t>
    </r>
    <r>
      <rPr>
        <sz val="11"/>
        <color theme="1"/>
        <rFont val="Arial Narrow"/>
        <family val="2"/>
      </rPr>
      <t xml:space="preserve">Las medidas de control para este riesgo están bien diseñadas y se aplican de acuerdo con el proceso.
El control de conciliación entre la información contable y los inventarios físicos, así como la solicitud de información a las áreas de Planeación y Jurídica, permite identificar y gestionar las diferencias presentadas.
En este sentido, los controles son coherentes y contribuyen a mitigar el riesgo, aunque se encuentran en proceso de depuración de las diferencias identificadas.
</t>
    </r>
    <r>
      <rPr>
        <b/>
        <sz val="11"/>
        <color theme="1"/>
        <rFont val="Arial Narrow"/>
        <family val="2"/>
      </rPr>
      <t xml:space="preserve">
Que acciones propones o se están llevando a cabo para gestionar el riesgo que se materializó? (Si no aplica colocar N/A)
</t>
    </r>
    <r>
      <rPr>
        <sz val="11"/>
        <color theme="1"/>
        <rFont val="Arial Narrow"/>
        <family val="2"/>
      </rPr>
      <t>No aplica, dado que el riesgo no se materializó.</t>
    </r>
    <r>
      <rPr>
        <b/>
        <sz val="11"/>
        <color theme="1"/>
        <rFont val="Arial Narrow"/>
        <family val="2"/>
      </rPr>
      <t xml:space="preserve">
Que acciones propones o se están llevando a cabo para fortalecer los controles? (En el caso de que tener Acciones de mejora / Acciones correctivas en proceso, relacionar el avance. Si tienes acciones específicas a desarrollar en la columna AJ, también relacionar el avance)
</t>
    </r>
    <r>
      <rPr>
        <sz val="11"/>
        <color theme="1"/>
        <rFont val="Arial Narrow"/>
        <family val="2"/>
      </rPr>
      <t>Se continúan realizando las conciliaciones y la gestión de información con las áreas de Planeación y Jurídica para la depuración de las diferencias.Desde el área de contabilidad se realizó la conciliación de la cuenta de inventarios de inmuebles comparando los saldos que se encontraban en el registro contable con el inventario de los inmuebles de sifi corte a junio 2026</t>
    </r>
  </si>
  <si>
    <t>*https://isvimedgovco.sharepoint.com/:f:/s/1Admin_Y_Financiera/IgALSrwHGMSMQLkIqv3fyI2bAd7U2wB4Cqq7t_G09Vh7VCs?e=NaFczV</t>
  </si>
  <si>
    <t>*https://isvimedgovco.sharepoint.com/:f:/s/1Admin_Y_Financiera/IgCsojgZ1oSPQLAtK0yc-mNzAb8cABpLn_42Hza6Gmluo6E?e=ZgJq4E</t>
  </si>
  <si>
    <t>*https://isvimedgovco.sharepoint.com/:f:/s/1Admin_Y_Financiera/IgDRienAzKmFQqrX4fJnwNkBAW760oIt7zB-A1X04exhrmA?e=dsrH1L</t>
  </si>
  <si>
    <t>*https://isvimedgovco.sharepoint.com/:f:/s/Admin_Y_Financiera-08.ProcesoFiducias/IgA1wMN7K1gRSZAKnHrJON9SAahTxJf56ZMkzsHyDaMx4BY?e=LwVz7q
*https://isvimedgovco.sharepoint.com/:f:/s/Admin_Y_Financiera-08.ProcesoFiducias/IgBbrbXHekScSZLIPL0vAnc-AQwr2Y8lsvcE-1su3ZlRouw?e=MYrNfN
*https://isvimedgovco.sharepoint.com/:f:/s/Admin_Y_Financiera-08.ProcesoFiducias/IgCft3Xi341iRq27FpJITjwSARKzfUdsDRpbq59piSaDaKI?e=pPVWjj
*https://isvimedgovco.sharepoint.com/:f:/s/Admin_Y_Financiera-08.ProcesoFiducias/IgCTeAozqq7ORZk5LgPeo3duASaI7rIIzw03Q3Oa8jPM_6I?e=ThJbrd
*https://isvimedgovco.sharepoint.com/:f:/s/1Admin_Y_Financiera/IgA25DWXMhIBSbXQ_Q_H973HAf4R18Ypt3YC2AQeWZTORT4?e=TlvJcm</t>
  </si>
  <si>
    <t xml:space="preserve">CORRESPONDE A EGRESOS ( SOPORTES SOLICITUDES PAGO) EN LA COMPARTIDA
*P:\1.ADMIN_Y_FINANCIERA\Comprobantes\Soportes 2026
 </t>
  </si>
  <si>
    <t>*https://isvimedgovco.sharepoint.com/:u:/s/Admin_Y_Financiera-10.Tesoreria/IQCiPbS8AHMqRLyMVJPVWKNHARroGfC712czEssj-TqIoMc?e=RLPNaN</t>
  </si>
  <si>
    <t>*https://isvimedgovco.sharepoint.com/:f:/s/Admin_Y_Financiera-10.Tesoreria/IgD9Ro1STbPlSK1vECTM8fIKAQELkFV8ftmh0HwuA8RJEtc?e=Xd0OAI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</si>
</sst>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5"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sz val="11"/>
      <color indexed="8"/>
      <name val="Arial Narrow"/>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12"/>
      <color indexed="8"/>
      <name val="Arial"/>
      <family val="2"/>
    </font>
    <font>
      <sz val="12"/>
      <color theme="1"/>
      <name val="Arial"/>
      <family val="2"/>
    </font>
    <font>
      <sz val="14"/>
      <name val="Arial Narrow"/>
      <family val="2"/>
    </font>
    <font>
      <b/>
      <sz val="16"/>
      <color theme="9"/>
      <name val="Arial Narrow"/>
      <family val="2"/>
    </font>
    <font>
      <sz val="14"/>
      <color indexed="8"/>
      <name val="Arial Narrow"/>
      <family val="2"/>
    </font>
    <font>
      <u/>
      <sz val="11"/>
      <color theme="10"/>
      <name val="Calibri"/>
      <family val="2"/>
      <scheme val="minor"/>
    </font>
    <font>
      <u/>
      <sz val="11"/>
      <color theme="11"/>
      <name val="Calibri"/>
      <family val="2"/>
      <scheme val="minor"/>
    </font>
    <font>
      <sz val="11"/>
      <color theme="1" tint="4.9989318521683403E-2"/>
      <name val="Arial Narrow"/>
      <family val="2"/>
    </font>
    <font>
      <sz val="11"/>
      <color rgb="FF000000"/>
      <name val="Arial Narrow"/>
      <family val="2"/>
    </font>
    <font>
      <b/>
      <i/>
      <sz val="11"/>
      <color rgb="FF000000"/>
      <name val="Arial Narrow"/>
      <family val="2"/>
    </font>
    <font>
      <b/>
      <sz val="11"/>
      <name val="Arial Narrow"/>
      <family val="2"/>
    </font>
    <font>
      <sz val="11"/>
      <color rgb="FFFF0000"/>
      <name val="Arial Narrow"/>
      <family val="2"/>
    </font>
    <font>
      <b/>
      <sz val="10"/>
      <color theme="1"/>
      <name val="Arial"/>
      <family val="2"/>
    </font>
    <font>
      <sz val="10"/>
      <color theme="1"/>
      <name val="Arial"/>
      <family val="2"/>
    </font>
    <font>
      <b/>
      <sz val="12"/>
      <color theme="1"/>
      <name val="Arial"/>
      <family val="2"/>
    </font>
    <font>
      <b/>
      <sz val="10"/>
      <color rgb="FFFF0000"/>
      <name val="Arial Narrow"/>
      <family val="2"/>
    </font>
    <font>
      <b/>
      <sz val="10"/>
      <color theme="1"/>
      <name val="Arial Narrow"/>
      <family val="2"/>
    </font>
    <font>
      <b/>
      <sz val="10"/>
      <name val="Arial Narrow"/>
      <family val="2"/>
    </font>
    <font>
      <b/>
      <sz val="11"/>
      <color rgb="FF000000"/>
      <name val="Arial Narrow"/>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12"/>
      <name val="Tahoma"/>
      <family val="2"/>
    </font>
    <font>
      <b/>
      <sz val="11"/>
      <name val="Tahoma"/>
      <family val="2"/>
    </font>
    <font>
      <sz val="11"/>
      <name val="Tahoma"/>
      <family val="2"/>
    </font>
    <font>
      <b/>
      <sz val="11"/>
      <name val="Calibri"/>
      <family val="2"/>
      <scheme val="minor"/>
    </font>
    <font>
      <b/>
      <sz val="14"/>
      <color theme="1"/>
      <name val="Calibri"/>
      <family val="2"/>
      <scheme val="minor"/>
    </font>
    <font>
      <sz val="14"/>
      <color theme="1"/>
      <name val="Calibri"/>
      <family val="2"/>
      <scheme val="minor"/>
    </font>
  </fonts>
  <fills count="22">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indexed="9"/>
        <bgColor indexed="64"/>
      </patternFill>
    </fill>
    <fill>
      <patternFill patternType="solid">
        <fgColor rgb="FFFF6600"/>
        <bgColor indexed="64"/>
      </patternFill>
    </fill>
    <fill>
      <patternFill patternType="solid">
        <fgColor rgb="FFFFFF00"/>
        <bgColor indexed="64"/>
      </patternFill>
    </fill>
  </fills>
  <borders count="48">
    <border>
      <left/>
      <right/>
      <top/>
      <bottom/>
      <diagonal/>
    </border>
    <border>
      <left style="dotted">
        <color rgb="FFF79646"/>
      </left>
      <right style="dotted">
        <color rgb="FFF79646"/>
      </right>
      <top style="dotted">
        <color rgb="FFF79646"/>
      </top>
      <bottom style="dotted">
        <color rgb="FFF79646"/>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13">
    <xf numFmtId="0" fontId="0" fillId="0" borderId="0"/>
    <xf numFmtId="9" fontId="13" fillId="0" borderId="0" applyFont="0" applyFill="0" applyBorder="0" applyAlignment="0" applyProtection="0"/>
    <xf numFmtId="0" fontId="30" fillId="0" borderId="0"/>
    <xf numFmtId="0" fontId="31" fillId="0" borderId="0"/>
    <xf numFmtId="0" fontId="5" fillId="0" borderId="0"/>
    <xf numFmtId="0" fontId="48" fillId="0" borderId="0" applyNumberFormat="0" applyFill="0" applyBorder="0" applyAlignment="0" applyProtection="0"/>
    <xf numFmtId="0" fontId="49"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30" fillId="0" borderId="0"/>
    <xf numFmtId="0" fontId="70" fillId="0" borderId="0"/>
  </cellStyleXfs>
  <cellXfs count="514">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7" fillId="0" borderId="0" xfId="0" applyFont="1" applyAlignment="1">
      <alignment horizontal="center" vertical="center" wrapText="1"/>
    </xf>
    <xf numFmtId="0" fontId="14" fillId="0" borderId="0" xfId="0" applyFont="1"/>
    <xf numFmtId="0" fontId="12" fillId="0" borderId="0" xfId="0" applyFont="1"/>
    <xf numFmtId="0" fontId="17" fillId="0" borderId="0" xfId="0" applyFont="1"/>
    <xf numFmtId="0" fontId="20" fillId="0" borderId="0" xfId="0" applyFont="1"/>
    <xf numFmtId="0" fontId="0" fillId="2" borderId="0" xfId="0" applyFill="1"/>
    <xf numFmtId="0" fontId="5" fillId="2" borderId="0" xfId="0" applyFont="1" applyFill="1"/>
    <xf numFmtId="0" fontId="22" fillId="2" borderId="0" xfId="0" applyFont="1" applyFill="1"/>
    <xf numFmtId="0" fontId="23" fillId="2" borderId="11" xfId="0" applyFont="1" applyFill="1" applyBorder="1" applyAlignment="1">
      <alignment horizontal="center" vertical="center" wrapText="1" readingOrder="1"/>
    </xf>
    <xf numFmtId="0" fontId="24" fillId="2" borderId="11" xfId="0" applyFont="1" applyFill="1" applyBorder="1" applyAlignment="1">
      <alignment horizontal="justify" vertical="center" wrapText="1" readingOrder="1"/>
    </xf>
    <xf numFmtId="9" fontId="23" fillId="2" borderId="20" xfId="0" applyNumberFormat="1" applyFont="1" applyFill="1" applyBorder="1" applyAlignment="1">
      <alignment horizontal="center" vertical="center" wrapText="1" readingOrder="1"/>
    </xf>
    <xf numFmtId="0" fontId="23" fillId="2" borderId="10" xfId="0" applyFont="1" applyFill="1" applyBorder="1" applyAlignment="1">
      <alignment horizontal="center" vertical="center" wrapText="1" readingOrder="1"/>
    </xf>
    <xf numFmtId="0" fontId="24" fillId="2" borderId="10" xfId="0" applyFont="1" applyFill="1" applyBorder="1" applyAlignment="1">
      <alignment horizontal="justify" vertical="center" wrapText="1" readingOrder="1"/>
    </xf>
    <xf numFmtId="9" fontId="23" fillId="2" borderId="15" xfId="0" applyNumberFormat="1" applyFont="1" applyFill="1" applyBorder="1" applyAlignment="1">
      <alignment horizontal="center" vertical="center" wrapText="1" readingOrder="1"/>
    </xf>
    <xf numFmtId="0" fontId="24" fillId="2" borderId="15" xfId="0" applyFont="1" applyFill="1" applyBorder="1" applyAlignment="1">
      <alignment horizontal="center" vertical="center" wrapText="1" readingOrder="1"/>
    </xf>
    <xf numFmtId="0" fontId="23" fillId="2" borderId="17" xfId="0" applyFont="1" applyFill="1" applyBorder="1" applyAlignment="1">
      <alignment horizontal="center" vertical="center" wrapText="1" readingOrder="1"/>
    </xf>
    <xf numFmtId="0" fontId="24" fillId="2" borderId="17" xfId="0" applyFont="1" applyFill="1" applyBorder="1" applyAlignment="1">
      <alignment horizontal="justify" vertical="center" wrapText="1" readingOrder="1"/>
    </xf>
    <xf numFmtId="0" fontId="24" fillId="2" borderId="18" xfId="0" applyFont="1" applyFill="1" applyBorder="1" applyAlignment="1">
      <alignment horizontal="center" vertical="center" wrapText="1" readingOrder="1"/>
    </xf>
    <xf numFmtId="0" fontId="29" fillId="2" borderId="0" xfId="0" applyFont="1" applyFill="1"/>
    <xf numFmtId="0" fontId="12" fillId="2" borderId="0" xfId="0" applyFont="1" applyFill="1"/>
    <xf numFmtId="0" fontId="14" fillId="2" borderId="0" xfId="0" applyFont="1" applyFill="1"/>
    <xf numFmtId="0" fontId="4" fillId="2" borderId="0" xfId="0" applyFont="1" applyFill="1" applyAlignment="1">
      <alignment horizontal="left" vertical="center"/>
    </xf>
    <xf numFmtId="0" fontId="1" fillId="0" borderId="10" xfId="0" applyFont="1" applyBorder="1" applyAlignment="1" applyProtection="1">
      <alignment horizontal="center" vertical="center"/>
      <protection hidden="1"/>
    </xf>
    <xf numFmtId="9" fontId="1" fillId="0" borderId="10" xfId="0" applyNumberFormat="1" applyFont="1" applyBorder="1" applyAlignment="1" applyProtection="1">
      <alignment horizontal="center" vertical="center"/>
      <protection hidden="1"/>
    </xf>
    <xf numFmtId="0" fontId="0" fillId="0" borderId="0" xfId="0" applyAlignment="1">
      <alignment horizontal="center" wrapText="1"/>
    </xf>
    <xf numFmtId="0" fontId="28" fillId="0" borderId="0" xfId="0" applyFont="1" applyAlignment="1">
      <alignment horizontal="center" vertical="center"/>
    </xf>
    <xf numFmtId="0" fontId="23" fillId="2" borderId="14" xfId="0" applyFont="1" applyFill="1" applyBorder="1" applyAlignment="1">
      <alignment horizontal="center" vertical="center" wrapText="1" readingOrder="1"/>
    </xf>
    <xf numFmtId="0" fontId="28" fillId="0" borderId="0" xfId="0" applyFont="1" applyAlignment="1">
      <alignment vertical="center"/>
    </xf>
    <xf numFmtId="0" fontId="11" fillId="2" borderId="0" xfId="0" applyFont="1" applyFill="1" applyAlignment="1">
      <alignment horizontal="justify" vertical="center" wrapText="1" readingOrder="1"/>
    </xf>
    <xf numFmtId="0" fontId="11" fillId="0" borderId="0" xfId="0" applyFont="1" applyAlignment="1">
      <alignment horizontal="justify" vertical="center" wrapText="1" readingOrder="1"/>
    </xf>
    <xf numFmtId="0" fontId="18" fillId="0" borderId="0" xfId="0" applyFont="1" applyAlignment="1">
      <alignment vertical="center"/>
    </xf>
    <xf numFmtId="0" fontId="19" fillId="0" borderId="0" xfId="0" applyFont="1"/>
    <xf numFmtId="0" fontId="23" fillId="10" borderId="22" xfId="0" applyFont="1" applyFill="1" applyBorder="1" applyAlignment="1">
      <alignment horizontal="center" vertical="center" wrapText="1" readingOrder="1"/>
    </xf>
    <xf numFmtId="0" fontId="23" fillId="10" borderId="23" xfId="0" applyFont="1" applyFill="1" applyBorder="1" applyAlignment="1">
      <alignment horizontal="center" vertical="center" wrapText="1" readingOrder="1"/>
    </xf>
    <xf numFmtId="0" fontId="8" fillId="5" borderId="10" xfId="0" applyFont="1" applyFill="1" applyBorder="1" applyAlignment="1">
      <alignment horizontal="center" vertical="center" wrapText="1" readingOrder="1"/>
    </xf>
    <xf numFmtId="0" fontId="9" fillId="0" borderId="10" xfId="0" applyFont="1" applyBorder="1" applyAlignment="1">
      <alignment horizontal="justify" vertical="center" wrapText="1" readingOrder="1"/>
    </xf>
    <xf numFmtId="9" fontId="9" fillId="0" borderId="10" xfId="0" applyNumberFormat="1" applyFont="1" applyBorder="1" applyAlignment="1">
      <alignment horizontal="center" vertical="center" wrapText="1" readingOrder="1"/>
    </xf>
    <xf numFmtId="0" fontId="9" fillId="4" borderId="10" xfId="0" applyFont="1" applyFill="1" applyBorder="1" applyAlignment="1">
      <alignment horizontal="center" vertical="center" wrapText="1" readingOrder="1"/>
    </xf>
    <xf numFmtId="0" fontId="9" fillId="6"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10" fillId="8" borderId="10" xfId="0" applyFont="1" applyFill="1" applyBorder="1" applyAlignment="1">
      <alignment horizontal="center" vertical="center" wrapText="1" readingOrder="1"/>
    </xf>
    <xf numFmtId="0" fontId="23" fillId="2" borderId="0" xfId="0" applyFont="1" applyFill="1" applyAlignment="1">
      <alignment horizontal="center" vertical="center" wrapText="1" readingOrder="1"/>
    </xf>
    <xf numFmtId="0" fontId="24" fillId="2" borderId="0" xfId="0" applyFont="1" applyFill="1" applyAlignment="1">
      <alignment horizontal="justify" vertical="center" wrapText="1" readingOrder="1"/>
    </xf>
    <xf numFmtId="0" fontId="24" fillId="2" borderId="0" xfId="0" applyFont="1" applyFill="1" applyAlignment="1">
      <alignment horizontal="center" vertical="center" wrapText="1" readingOrder="1"/>
    </xf>
    <xf numFmtId="0" fontId="38" fillId="2" borderId="0" xfId="0" applyFont="1" applyFill="1" applyAlignment="1">
      <alignment horizontal="center" vertical="center"/>
    </xf>
    <xf numFmtId="0" fontId="32" fillId="0" borderId="0" xfId="0" applyFont="1"/>
    <xf numFmtId="0" fontId="38" fillId="10" borderId="10" xfId="0" applyFont="1" applyFill="1" applyBorder="1" applyAlignment="1">
      <alignment horizontal="left" vertical="center"/>
    </xf>
    <xf numFmtId="0" fontId="42" fillId="11" borderId="10" xfId="0" applyFont="1" applyFill="1" applyBorder="1" applyAlignment="1">
      <alignment horizontal="center" vertical="center"/>
    </xf>
    <xf numFmtId="0" fontId="42" fillId="11" borderId="10" xfId="0" applyFont="1" applyFill="1" applyBorder="1" applyAlignment="1">
      <alignment horizontal="center" vertical="center" wrapText="1"/>
    </xf>
    <xf numFmtId="0" fontId="38" fillId="2" borderId="10" xfId="0" applyFont="1" applyFill="1" applyBorder="1" applyAlignment="1">
      <alignment horizontal="center" vertical="center"/>
    </xf>
    <xf numFmtId="0" fontId="43" fillId="2" borderId="29"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28" xfId="0" applyFont="1" applyFill="1" applyBorder="1" applyAlignment="1">
      <alignment horizontal="center" vertical="center"/>
    </xf>
    <xf numFmtId="0" fontId="43" fillId="2" borderId="0" xfId="0" applyFont="1" applyFill="1" applyAlignment="1">
      <alignment horizontal="center" vertical="center"/>
    </xf>
    <xf numFmtId="0" fontId="4" fillId="0" borderId="10" xfId="0" applyFont="1" applyBorder="1" applyAlignment="1" applyProtection="1">
      <alignment horizontal="center" vertical="center" textRotation="90" wrapText="1"/>
      <protection hidden="1"/>
    </xf>
    <xf numFmtId="164" fontId="1" fillId="0" borderId="10" xfId="1" applyNumberFormat="1" applyFont="1" applyBorder="1" applyAlignment="1" applyProtection="1">
      <alignment horizontal="center" vertical="center"/>
      <protection hidden="1"/>
    </xf>
    <xf numFmtId="0" fontId="1" fillId="2" borderId="0" xfId="0" applyFont="1" applyFill="1" applyProtection="1">
      <protection hidden="1"/>
    </xf>
    <xf numFmtId="0" fontId="1" fillId="0" borderId="0" xfId="0" applyFont="1" applyProtection="1">
      <protection hidden="1"/>
    </xf>
    <xf numFmtId="0" fontId="1" fillId="2" borderId="0" xfId="0" applyFont="1" applyFill="1" applyAlignment="1" applyProtection="1">
      <alignment horizontal="center" vertical="center"/>
      <protection hidden="1"/>
    </xf>
    <xf numFmtId="0" fontId="1" fillId="2" borderId="0" xfId="0" applyFont="1" applyFill="1" applyAlignment="1" applyProtection="1">
      <alignment horizontal="left" vertical="center"/>
      <protection hidden="1"/>
    </xf>
    <xf numFmtId="0" fontId="1" fillId="2" borderId="0" xfId="0" applyFont="1" applyFill="1" applyAlignment="1" applyProtection="1">
      <alignment horizontal="center"/>
      <protection hidden="1"/>
    </xf>
    <xf numFmtId="0" fontId="4" fillId="0" borderId="0" xfId="0" applyFont="1" applyAlignment="1" applyProtection="1">
      <alignment vertical="center"/>
      <protection hidden="1"/>
    </xf>
    <xf numFmtId="0" fontId="4" fillId="0" borderId="29" xfId="0" applyFont="1" applyBorder="1" applyAlignment="1" applyProtection="1">
      <alignment vertical="center"/>
      <protection hidden="1"/>
    </xf>
    <xf numFmtId="0" fontId="1" fillId="9" borderId="0" xfId="0" applyFont="1" applyFill="1" applyProtection="1">
      <protection hidden="1"/>
    </xf>
    <xf numFmtId="0" fontId="34" fillId="9" borderId="28" xfId="0" applyFont="1" applyFill="1" applyBorder="1" applyAlignment="1" applyProtection="1">
      <alignment horizontal="center" vertical="center" wrapText="1"/>
      <protection hidden="1"/>
    </xf>
    <xf numFmtId="0" fontId="4" fillId="9" borderId="10" xfId="0" applyFont="1" applyFill="1" applyBorder="1" applyAlignment="1" applyProtection="1">
      <alignment horizontal="center" vertical="center" textRotation="90"/>
      <protection hidden="1"/>
    </xf>
    <xf numFmtId="0" fontId="4" fillId="9" borderId="10" xfId="0" applyFont="1" applyFill="1" applyBorder="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1" fillId="0" borderId="10" xfId="0" applyFont="1" applyBorder="1" applyAlignment="1" applyProtection="1">
      <alignment vertical="center" wrapText="1"/>
      <protection hidden="1"/>
    </xf>
    <xf numFmtId="0" fontId="1" fillId="0" borderId="10" xfId="0" applyFont="1" applyBorder="1" applyAlignment="1" applyProtection="1">
      <alignment horizontal="center" vertical="center" textRotation="90"/>
      <protection hidden="1"/>
    </xf>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0" fontId="35" fillId="2" borderId="10" xfId="0" applyFont="1" applyFill="1" applyBorder="1" applyAlignment="1" applyProtection="1">
      <alignment horizontal="center" vertical="center" wrapText="1"/>
      <protection hidden="1"/>
    </xf>
    <xf numFmtId="0" fontId="1" fillId="0" borderId="10" xfId="0" applyFont="1" applyBorder="1" applyAlignment="1" applyProtection="1">
      <alignment horizontal="justify" vertical="center" wrapText="1"/>
      <protection hidden="1"/>
    </xf>
    <xf numFmtId="0" fontId="1" fillId="0" borderId="10" xfId="0" applyFont="1" applyBorder="1" applyAlignment="1" applyProtection="1">
      <alignment horizontal="center" vertical="center" wrapText="1"/>
      <protection hidden="1"/>
    </xf>
    <xf numFmtId="0" fontId="1" fillId="2" borderId="10" xfId="0" applyFont="1" applyFill="1" applyBorder="1" applyAlignment="1" applyProtection="1">
      <alignment vertical="center"/>
      <protection hidden="1"/>
    </xf>
    <xf numFmtId="0" fontId="1" fillId="2" borderId="10" xfId="0" applyFont="1" applyFill="1" applyBorder="1" applyProtection="1">
      <protection hidden="1"/>
    </xf>
    <xf numFmtId="0" fontId="2" fillId="0" borderId="10" xfId="0" applyFont="1" applyBorder="1" applyAlignment="1" applyProtection="1">
      <alignment horizontal="center" vertical="center" wrapText="1"/>
      <protection hidden="1"/>
    </xf>
    <xf numFmtId="0" fontId="1" fillId="0" borderId="0" xfId="0" applyFont="1" applyAlignment="1" applyProtection="1">
      <alignment horizontal="left" vertical="center" wrapText="1"/>
      <protection hidden="1"/>
    </xf>
    <xf numFmtId="0" fontId="1" fillId="2" borderId="10" xfId="0" applyFont="1" applyFill="1" applyBorder="1" applyAlignment="1" applyProtection="1">
      <alignment vertical="center" wrapText="1"/>
      <protection hidden="1"/>
    </xf>
    <xf numFmtId="0" fontId="2" fillId="0" borderId="10" xfId="0" applyFont="1" applyBorder="1" applyAlignment="1" applyProtection="1">
      <alignment horizontal="left" vertical="center" wrapText="1"/>
      <protection hidden="1"/>
    </xf>
    <xf numFmtId="0" fontId="1" fillId="0" borderId="10" xfId="0" applyFont="1" applyBorder="1" applyAlignment="1" applyProtection="1">
      <alignment horizontal="justify" vertical="center"/>
      <protection hidden="1"/>
    </xf>
    <xf numFmtId="0" fontId="2" fillId="0" borderId="10" xfId="0" applyFont="1" applyBorder="1" applyAlignment="1" applyProtection="1">
      <alignment horizontal="justify" vertical="center" wrapText="1"/>
      <protection hidden="1"/>
    </xf>
    <xf numFmtId="0" fontId="4" fillId="0" borderId="0" xfId="0" applyFont="1" applyAlignment="1" applyProtection="1">
      <alignment horizontal="left"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2" fillId="0" borderId="11" xfId="0" applyFont="1" applyBorder="1" applyAlignment="1" applyProtection="1">
      <alignment vertical="center" wrapText="1"/>
      <protection hidden="1"/>
    </xf>
    <xf numFmtId="0" fontId="35" fillId="0" borderId="10" xfId="0" applyFont="1" applyBorder="1" applyAlignment="1" applyProtection="1">
      <alignment horizontal="center" vertical="center" wrapText="1"/>
      <protection hidden="1"/>
    </xf>
    <xf numFmtId="0" fontId="1" fillId="0" borderId="0" xfId="0" applyFont="1" applyAlignment="1" applyProtection="1">
      <alignment vertical="center" wrapText="1"/>
      <protection hidden="1"/>
    </xf>
    <xf numFmtId="0" fontId="35" fillId="0" borderId="10" xfId="0" applyFont="1" applyBorder="1" applyAlignment="1" applyProtection="1">
      <alignment horizontal="left" vertical="center" wrapText="1"/>
      <protection hidden="1"/>
    </xf>
    <xf numFmtId="0" fontId="35" fillId="0" borderId="10" xfId="0" applyFont="1" applyBorder="1" applyAlignment="1" applyProtection="1">
      <alignment vertical="center" wrapText="1"/>
      <protection hidden="1"/>
    </xf>
    <xf numFmtId="0" fontId="1" fillId="9" borderId="10" xfId="0" applyFont="1" applyFill="1" applyBorder="1" applyAlignment="1" applyProtection="1">
      <alignment horizontal="center"/>
      <protection hidden="1"/>
    </xf>
    <xf numFmtId="0" fontId="1" fillId="9" borderId="10" xfId="0" applyFont="1" applyFill="1" applyBorder="1" applyAlignment="1" applyProtection="1">
      <alignment horizontal="center" vertical="center"/>
      <protection hidden="1"/>
    </xf>
    <xf numFmtId="14" fontId="1" fillId="0" borderId="10" xfId="0" applyNumberFormat="1" applyFont="1" applyBorder="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1" fillId="0" borderId="27" xfId="0" applyFont="1" applyBorder="1" applyAlignment="1" applyProtection="1">
      <alignment horizontal="center" vertical="center" wrapText="1"/>
      <protection hidden="1"/>
    </xf>
    <xf numFmtId="0" fontId="1" fillId="0" borderId="0" xfId="0" applyFont="1" applyAlignment="1" applyProtection="1">
      <alignment horizontal="left" vertical="center"/>
      <protection hidden="1"/>
    </xf>
    <xf numFmtId="0" fontId="2" fillId="0" borderId="27" xfId="0" applyFont="1" applyBorder="1" applyAlignment="1" applyProtection="1">
      <alignment horizontal="center" vertical="center" wrapText="1"/>
      <protection hidden="1"/>
    </xf>
    <xf numFmtId="0" fontId="1" fillId="0" borderId="11" xfId="0" applyFont="1" applyBorder="1" applyAlignment="1" applyProtection="1">
      <alignment horizontal="left" vertical="center" wrapText="1"/>
      <protection hidden="1"/>
    </xf>
    <xf numFmtId="0" fontId="4" fillId="0" borderId="11" xfId="0" applyFont="1" applyBorder="1" applyAlignment="1" applyProtection="1">
      <alignment horizontal="center" vertical="center" textRotation="90" wrapText="1"/>
      <protection hidden="1"/>
    </xf>
    <xf numFmtId="0" fontId="1" fillId="0" borderId="10" xfId="0" applyFont="1" applyBorder="1" applyAlignment="1" applyProtection="1">
      <alignment horizontal="left" vertical="center" wrapText="1"/>
      <protection hidden="1"/>
    </xf>
    <xf numFmtId="0" fontId="1" fillId="0" borderId="11" xfId="0" applyFont="1" applyBorder="1" applyAlignment="1" applyProtection="1">
      <alignment horizontal="center" vertical="center" wrapText="1"/>
      <protection hidden="1"/>
    </xf>
    <xf numFmtId="0" fontId="50" fillId="0" borderId="11" xfId="0" applyFont="1" applyBorder="1" applyAlignment="1" applyProtection="1">
      <alignment horizontal="center" vertical="center" wrapText="1"/>
      <protection hidden="1"/>
    </xf>
    <xf numFmtId="0" fontId="4" fillId="14" borderId="0" xfId="0" applyFont="1" applyFill="1" applyAlignment="1" applyProtection="1">
      <alignment horizontal="center" vertical="center"/>
      <protection hidden="1"/>
    </xf>
    <xf numFmtId="0" fontId="34" fillId="0" borderId="11" xfId="0" applyFont="1" applyBorder="1" applyAlignment="1" applyProtection="1">
      <alignment horizontal="center" vertical="center" wrapText="1"/>
      <protection hidden="1"/>
    </xf>
    <xf numFmtId="0" fontId="2" fillId="0" borderId="10" xfId="0" applyFont="1" applyBorder="1" applyAlignment="1" applyProtection="1">
      <alignment vertical="center" wrapText="1"/>
      <protection hidden="1"/>
    </xf>
    <xf numFmtId="0" fontId="51" fillId="0" borderId="10" xfId="0" applyFont="1" applyBorder="1" applyAlignment="1" applyProtection="1">
      <alignment horizontal="center" vertical="center" wrapText="1"/>
      <protection hidden="1"/>
    </xf>
    <xf numFmtId="0" fontId="1" fillId="0" borderId="10" xfId="0" applyFont="1" applyBorder="1" applyAlignment="1" applyProtection="1">
      <alignment horizontal="left" vertical="center"/>
      <protection hidden="1"/>
    </xf>
    <xf numFmtId="0" fontId="35" fillId="2" borderId="10" xfId="0" applyFont="1" applyFill="1" applyBorder="1" applyAlignment="1" applyProtection="1">
      <alignment horizontal="left" vertical="center" wrapText="1"/>
      <protection hidden="1"/>
    </xf>
    <xf numFmtId="0" fontId="35" fillId="2" borderId="10" xfId="0" applyFont="1" applyFill="1" applyBorder="1" applyAlignment="1" applyProtection="1">
      <alignment vertical="center" wrapText="1"/>
      <protection hidden="1"/>
    </xf>
    <xf numFmtId="0" fontId="1" fillId="2" borderId="10" xfId="0" applyFont="1" applyFill="1" applyBorder="1" applyAlignment="1" applyProtection="1">
      <alignment horizontal="justify" vertical="center" wrapText="1"/>
      <protection hidden="1"/>
    </xf>
    <xf numFmtId="0" fontId="54" fillId="0" borderId="10" xfId="0" applyFont="1" applyBorder="1" applyAlignment="1" applyProtection="1">
      <alignment horizontal="justify" vertical="center" wrapText="1"/>
      <protection hidden="1"/>
    </xf>
    <xf numFmtId="0" fontId="1" fillId="0" borderId="27" xfId="0" applyFont="1" applyBorder="1" applyAlignment="1" applyProtection="1">
      <alignment horizontal="center" vertical="center" textRotation="90"/>
      <protection hidden="1"/>
    </xf>
    <xf numFmtId="0" fontId="1" fillId="0" borderId="27" xfId="0" applyFont="1" applyBorder="1" applyAlignment="1" applyProtection="1">
      <alignment horizontal="center" vertical="center"/>
      <protection hidden="1"/>
    </xf>
    <xf numFmtId="0" fontId="51" fillId="0" borderId="10" xfId="0" applyFont="1" applyBorder="1" applyAlignment="1" applyProtection="1">
      <alignment horizontal="left" vertical="center" wrapText="1"/>
      <protection hidden="1"/>
    </xf>
    <xf numFmtId="0" fontId="51" fillId="0" borderId="10" xfId="0" applyFont="1" applyBorder="1" applyAlignment="1" applyProtection="1">
      <alignment horizontal="justify" vertical="center" wrapText="1"/>
      <protection hidden="1"/>
    </xf>
    <xf numFmtId="0" fontId="2" fillId="0" borderId="0" xfId="0" applyFont="1" applyAlignment="1" applyProtection="1">
      <alignment horizontal="left" vertical="center" wrapText="1"/>
      <protection hidden="1"/>
    </xf>
    <xf numFmtId="0" fontId="51" fillId="0" borderId="0" xfId="0" applyFont="1" applyAlignment="1" applyProtection="1">
      <alignment horizontal="justify" vertical="center" wrapText="1"/>
      <protection hidden="1"/>
    </xf>
    <xf numFmtId="0" fontId="55" fillId="0" borderId="0" xfId="0" applyFont="1" applyAlignment="1">
      <alignment horizontal="center" vertical="center" wrapText="1"/>
    </xf>
    <xf numFmtId="0" fontId="56" fillId="0" borderId="0" xfId="0" applyFont="1" applyAlignment="1">
      <alignment vertical="center" wrapText="1"/>
    </xf>
    <xf numFmtId="0" fontId="57" fillId="0" borderId="14" xfId="0" applyFont="1" applyBorder="1" applyAlignment="1">
      <alignment horizontal="center" vertical="center" wrapText="1"/>
    </xf>
    <xf numFmtId="0" fontId="57" fillId="0" borderId="10" xfId="0" applyFont="1" applyBorder="1" applyAlignment="1">
      <alignment horizontal="center" vertical="center" wrapText="1"/>
    </xf>
    <xf numFmtId="0" fontId="57" fillId="0" borderId="15" xfId="0" applyFont="1" applyBorder="1" applyAlignment="1">
      <alignment horizontal="center" vertical="center" wrapText="1"/>
    </xf>
    <xf numFmtId="0" fontId="44" fillId="15" borderId="14" xfId="0" applyFont="1" applyFill="1" applyBorder="1" applyAlignment="1">
      <alignment horizontal="center" vertical="center" wrapText="1"/>
    </xf>
    <xf numFmtId="9" fontId="44" fillId="0" borderId="10" xfId="0" applyNumberFormat="1" applyFont="1" applyBorder="1" applyAlignment="1">
      <alignment horizontal="center" vertical="center" wrapText="1"/>
    </xf>
    <xf numFmtId="0" fontId="44" fillId="0" borderId="10" xfId="0" applyFont="1" applyBorder="1" applyAlignment="1">
      <alignment vertical="center" wrapText="1"/>
    </xf>
    <xf numFmtId="0" fontId="44" fillId="0" borderId="20" xfId="0" applyFont="1" applyBorder="1" applyAlignment="1">
      <alignment vertical="center" wrapText="1"/>
    </xf>
    <xf numFmtId="0" fontId="44" fillId="16" borderId="14" xfId="0" applyFont="1" applyFill="1" applyBorder="1" applyAlignment="1">
      <alignment horizontal="center" vertical="center" wrapText="1"/>
    </xf>
    <xf numFmtId="0" fontId="44" fillId="0" borderId="10" xfId="0" applyFont="1" applyBorder="1" applyAlignment="1">
      <alignment horizontal="justify" vertical="center" wrapText="1"/>
    </xf>
    <xf numFmtId="0" fontId="44" fillId="0" borderId="15" xfId="0" applyFont="1" applyBorder="1" applyAlignment="1">
      <alignment vertical="center" wrapText="1"/>
    </xf>
    <xf numFmtId="0" fontId="44" fillId="17" borderId="14" xfId="0" applyFont="1" applyFill="1" applyBorder="1" applyAlignment="1">
      <alignment horizontal="center" vertical="center" wrapText="1"/>
    </xf>
    <xf numFmtId="0" fontId="44" fillId="7" borderId="14" xfId="0" applyFont="1" applyFill="1" applyBorder="1" applyAlignment="1">
      <alignment horizontal="center" vertical="center" wrapText="1"/>
    </xf>
    <xf numFmtId="0" fontId="44" fillId="18" borderId="14" xfId="0" applyFont="1" applyFill="1" applyBorder="1" applyAlignment="1">
      <alignment horizontal="center" vertical="center" wrapText="1"/>
    </xf>
    <xf numFmtId="0" fontId="63" fillId="0" borderId="0" xfId="11" applyFont="1" applyAlignment="1">
      <alignment horizontal="center" vertical="center"/>
    </xf>
    <xf numFmtId="0" fontId="64" fillId="19" borderId="0" xfId="11" applyFont="1" applyFill="1"/>
    <xf numFmtId="0" fontId="65" fillId="19" borderId="0" xfId="11" applyFont="1" applyFill="1" applyAlignment="1">
      <alignment vertical="center" wrapText="1"/>
    </xf>
    <xf numFmtId="14" fontId="30" fillId="0" borderId="0" xfId="0" applyNumberFormat="1" applyFont="1" applyAlignment="1">
      <alignment horizontal="right" vertical="center" wrapText="1"/>
    </xf>
    <xf numFmtId="9" fontId="30" fillId="0" borderId="0" xfId="0" applyNumberFormat="1" applyFont="1" applyAlignment="1">
      <alignment horizontal="left" vertical="center" wrapText="1"/>
    </xf>
    <xf numFmtId="0" fontId="63" fillId="0" borderId="0" xfId="11" applyFont="1" applyAlignment="1">
      <alignment vertical="center"/>
    </xf>
    <xf numFmtId="0" fontId="30" fillId="19" borderId="0" xfId="11" applyFill="1"/>
    <xf numFmtId="0" fontId="30" fillId="19" borderId="0" xfId="11" applyFill="1" applyAlignment="1">
      <alignment horizontal="center" vertical="center"/>
    </xf>
    <xf numFmtId="0" fontId="30" fillId="19" borderId="0" xfId="11" applyFill="1" applyAlignment="1">
      <alignment horizontal="center"/>
    </xf>
    <xf numFmtId="0" fontId="63" fillId="0" borderId="0" xfId="0" applyFont="1" applyAlignment="1">
      <alignment horizontal="left" vertical="center" wrapText="1"/>
    </xf>
    <xf numFmtId="0" fontId="63" fillId="0" borderId="0" xfId="0" applyFont="1" applyAlignment="1">
      <alignment vertical="center" wrapText="1"/>
    </xf>
    <xf numFmtId="14" fontId="30" fillId="0" borderId="0" xfId="0" applyNumberFormat="1" applyFont="1" applyAlignment="1">
      <alignment vertical="center" wrapText="1"/>
    </xf>
    <xf numFmtId="14" fontId="63" fillId="0" borderId="0" xfId="0" applyNumberFormat="1" applyFont="1" applyAlignment="1">
      <alignment horizontal="center" vertical="center" wrapText="1"/>
    </xf>
    <xf numFmtId="14" fontId="30" fillId="0" borderId="0" xfId="0" applyNumberFormat="1" applyFont="1" applyAlignment="1">
      <alignment horizontal="left" vertical="center" wrapText="1"/>
    </xf>
    <xf numFmtId="0" fontId="66" fillId="0" borderId="10" xfId="11" applyFont="1" applyBorder="1" applyAlignment="1">
      <alignment vertical="center" wrapText="1"/>
    </xf>
    <xf numFmtId="0" fontId="66" fillId="0" borderId="0" xfId="11" applyFont="1" applyAlignment="1">
      <alignment vertical="center" wrapText="1"/>
    </xf>
    <xf numFmtId="0" fontId="67" fillId="2" borderId="0" xfId="11" applyFont="1" applyFill="1" applyAlignment="1">
      <alignment horizontal="left" vertical="center" wrapText="1"/>
    </xf>
    <xf numFmtId="0" fontId="30" fillId="19" borderId="2" xfId="11" applyFill="1" applyBorder="1"/>
    <xf numFmtId="0" fontId="30" fillId="19" borderId="9" xfId="11" applyFill="1" applyBorder="1"/>
    <xf numFmtId="0" fontId="63" fillId="0" borderId="19" xfId="11" applyFont="1" applyBorder="1" applyAlignment="1">
      <alignment vertical="center" wrapText="1"/>
    </xf>
    <xf numFmtId="0" fontId="63" fillId="0" borderId="11" xfId="11" applyFont="1" applyBorder="1" applyAlignment="1">
      <alignment vertical="center" wrapText="1"/>
    </xf>
    <xf numFmtId="0" fontId="63" fillId="0" borderId="10" xfId="11" applyFont="1" applyBorder="1" applyAlignment="1">
      <alignment horizontal="center" vertical="center" wrapText="1"/>
    </xf>
    <xf numFmtId="0" fontId="63" fillId="0" borderId="0" xfId="11" applyFont="1" applyAlignment="1">
      <alignment horizontal="center" vertical="center" wrapText="1"/>
    </xf>
    <xf numFmtId="0" fontId="30" fillId="0" borderId="2" xfId="11" applyBorder="1" applyAlignment="1">
      <alignment vertical="center" wrapText="1"/>
    </xf>
    <xf numFmtId="0" fontId="30" fillId="0" borderId="9" xfId="11" applyBorder="1" applyAlignment="1">
      <alignment vertical="center" wrapText="1"/>
    </xf>
    <xf numFmtId="0" fontId="30" fillId="0" borderId="4" xfId="11" applyBorder="1" applyAlignment="1">
      <alignment vertical="center" wrapText="1"/>
    </xf>
    <xf numFmtId="0" fontId="30" fillId="0" borderId="0" xfId="11" applyAlignment="1">
      <alignment vertical="center" wrapText="1"/>
    </xf>
    <xf numFmtId="9" fontId="30" fillId="0" borderId="10" xfId="11" applyNumberFormat="1" applyBorder="1" applyAlignment="1">
      <alignment horizontal="center" vertical="center" wrapText="1"/>
    </xf>
    <xf numFmtId="9" fontId="30" fillId="0" borderId="15" xfId="11" applyNumberFormat="1" applyBorder="1" applyAlignment="1">
      <alignment horizontal="center" vertical="center" wrapText="1"/>
    </xf>
    <xf numFmtId="0" fontId="68" fillId="0" borderId="0" xfId="11" applyFont="1" applyAlignment="1">
      <alignment vertical="center" wrapText="1"/>
    </xf>
    <xf numFmtId="0" fontId="30" fillId="0" borderId="0" xfId="11" applyAlignment="1">
      <alignment horizontal="center" vertical="center" wrapText="1"/>
    </xf>
    <xf numFmtId="0" fontId="63" fillId="0" borderId="19" xfId="11" applyFont="1" applyBorder="1" applyAlignment="1">
      <alignment horizontal="center" vertical="center" wrapText="1"/>
    </xf>
    <xf numFmtId="0" fontId="63" fillId="0" borderId="11" xfId="11" applyFont="1" applyBorder="1" applyAlignment="1">
      <alignment horizontal="center" vertical="center" wrapText="1"/>
    </xf>
    <xf numFmtId="0" fontId="63" fillId="0" borderId="28" xfId="11" applyFont="1" applyBorder="1" applyAlignment="1">
      <alignment horizontal="center" vertical="center" wrapText="1"/>
    </xf>
    <xf numFmtId="0" fontId="63" fillId="0" borderId="10" xfId="11" applyFont="1" applyBorder="1" applyAlignment="1">
      <alignment vertical="center" wrapText="1"/>
    </xf>
    <xf numFmtId="0" fontId="69" fillId="0" borderId="10" xfId="0" applyFont="1" applyBorder="1" applyAlignment="1">
      <alignment horizontal="center" vertical="center" wrapText="1" readingOrder="1"/>
    </xf>
    <xf numFmtId="0" fontId="69" fillId="0" borderId="15" xfId="0" applyFont="1" applyBorder="1" applyAlignment="1">
      <alignment horizontal="center" vertical="center" wrapText="1" readingOrder="1"/>
    </xf>
    <xf numFmtId="0" fontId="30" fillId="0" borderId="10" xfId="11" applyBorder="1" applyAlignment="1">
      <alignment vertical="center" wrapText="1"/>
    </xf>
    <xf numFmtId="0" fontId="30" fillId="0" borderId="10" xfId="0" applyFont="1" applyBorder="1" applyAlignment="1">
      <alignment horizontal="center" vertical="center" wrapText="1" readingOrder="1"/>
    </xf>
    <xf numFmtId="0" fontId="30" fillId="0" borderId="15" xfId="0" applyFont="1" applyBorder="1" applyAlignment="1">
      <alignment horizontal="center" vertical="center" wrapText="1" readingOrder="1"/>
    </xf>
    <xf numFmtId="0" fontId="71" fillId="0" borderId="0" xfId="12" applyFont="1"/>
    <xf numFmtId="0" fontId="30" fillId="0" borderId="14" xfId="11" applyBorder="1" applyAlignment="1">
      <alignment horizontal="center" vertical="center" wrapText="1"/>
    </xf>
    <xf numFmtId="0" fontId="30" fillId="0" borderId="10" xfId="11" applyBorder="1" applyAlignment="1">
      <alignment horizontal="justify" vertical="center" wrapText="1"/>
    </xf>
    <xf numFmtId="9" fontId="56" fillId="0" borderId="11" xfId="0" applyNumberFormat="1" applyFont="1" applyBorder="1" applyAlignment="1">
      <alignment horizontal="center" vertical="center" wrapText="1"/>
    </xf>
    <xf numFmtId="0" fontId="30" fillId="0" borderId="0" xfId="11" applyAlignment="1">
      <alignment horizontal="justify" vertical="center" wrapText="1"/>
    </xf>
    <xf numFmtId="0" fontId="72" fillId="20" borderId="10" xfId="0" applyFont="1" applyFill="1" applyBorder="1" applyAlignment="1">
      <alignment horizontal="center" vertical="center" wrapText="1" readingOrder="1"/>
    </xf>
    <xf numFmtId="0" fontId="30" fillId="8" borderId="15" xfId="0" applyFont="1" applyFill="1" applyBorder="1" applyAlignment="1">
      <alignment horizontal="center" vertical="center" wrapText="1" readingOrder="1"/>
    </xf>
    <xf numFmtId="9" fontId="30" fillId="0" borderId="14" xfId="11" applyNumberFormat="1" applyBorder="1" applyAlignment="1">
      <alignment horizontal="center" vertical="center" wrapText="1"/>
    </xf>
    <xf numFmtId="0" fontId="71" fillId="0" borderId="0" xfId="12" applyFont="1" applyAlignment="1">
      <alignment horizontal="center" vertical="center"/>
    </xf>
    <xf numFmtId="0" fontId="72" fillId="3" borderId="10" xfId="0" applyFont="1" applyFill="1" applyBorder="1" applyAlignment="1">
      <alignment horizontal="center" vertical="center" wrapText="1" readingOrder="1"/>
    </xf>
    <xf numFmtId="0" fontId="73" fillId="0" borderId="0" xfId="12" applyFont="1" applyAlignment="1">
      <alignment vertical="center" textRotation="90" wrapText="1"/>
    </xf>
    <xf numFmtId="0" fontId="74" fillId="0" borderId="0" xfId="12" applyFont="1" applyAlignment="1">
      <alignment horizontal="center" vertical="center" wrapText="1"/>
    </xf>
    <xf numFmtId="0" fontId="71" fillId="0" borderId="0" xfId="12" applyFont="1" applyAlignment="1">
      <alignment horizontal="center" vertical="center" wrapText="1"/>
    </xf>
    <xf numFmtId="0" fontId="72" fillId="4" borderId="10" xfId="0" applyFont="1" applyFill="1" applyBorder="1" applyAlignment="1">
      <alignment horizontal="center" vertical="center" wrapText="1" readingOrder="1"/>
    </xf>
    <xf numFmtId="0" fontId="69" fillId="0" borderId="17" xfId="0" applyFont="1" applyBorder="1" applyAlignment="1">
      <alignment horizontal="center" vertical="center" wrapText="1" readingOrder="1"/>
    </xf>
    <xf numFmtId="0" fontId="72" fillId="4" borderId="17" xfId="0" applyFont="1" applyFill="1" applyBorder="1" applyAlignment="1">
      <alignment horizontal="center" vertical="center" wrapText="1" readingOrder="1"/>
    </xf>
    <xf numFmtId="0" fontId="72" fillId="3" borderId="17" xfId="0" applyFont="1" applyFill="1" applyBorder="1" applyAlignment="1">
      <alignment horizontal="center" vertical="center" wrapText="1" readingOrder="1"/>
    </xf>
    <xf numFmtId="0" fontId="72" fillId="20" borderId="17" xfId="0" applyFont="1" applyFill="1" applyBorder="1" applyAlignment="1">
      <alignment horizontal="center" vertical="center" wrapText="1" readingOrder="1"/>
    </xf>
    <xf numFmtId="0" fontId="30" fillId="8" borderId="18" xfId="0" applyFont="1" applyFill="1" applyBorder="1" applyAlignment="1">
      <alignment horizontal="center" vertical="center" wrapText="1" readingOrder="1"/>
    </xf>
    <xf numFmtId="9" fontId="30" fillId="0" borderId="16" xfId="11" applyNumberFormat="1" applyBorder="1" applyAlignment="1">
      <alignment horizontal="center" vertical="center" wrapText="1"/>
    </xf>
    <xf numFmtId="0" fontId="30" fillId="0" borderId="17" xfId="0" applyFont="1" applyBorder="1" applyAlignment="1">
      <alignment horizontal="center" vertical="center" wrapText="1" readingOrder="1"/>
    </xf>
    <xf numFmtId="0" fontId="71" fillId="0" borderId="0" xfId="12" applyFont="1" applyAlignment="1">
      <alignment vertical="center"/>
    </xf>
    <xf numFmtId="0" fontId="30" fillId="8" borderId="10" xfId="0" applyFont="1" applyFill="1" applyBorder="1" applyAlignment="1">
      <alignment horizontal="center" vertical="center" wrapText="1" readingOrder="1"/>
    </xf>
    <xf numFmtId="0" fontId="68" fillId="0" borderId="0" xfId="0" applyFont="1" applyAlignment="1">
      <alignment vertical="center" readingOrder="1"/>
    </xf>
    <xf numFmtId="0" fontId="75" fillId="0" borderId="0" xfId="12" applyFont="1"/>
    <xf numFmtId="0" fontId="30" fillId="0" borderId="0" xfId="0" applyFont="1" applyAlignment="1">
      <alignment vertical="center"/>
    </xf>
    <xf numFmtId="0" fontId="30" fillId="0" borderId="0" xfId="0" applyFont="1" applyAlignment="1">
      <alignment vertical="center" readingOrder="1"/>
    </xf>
    <xf numFmtId="0" fontId="30" fillId="0" borderId="0" xfId="12" applyFont="1" applyAlignment="1">
      <alignment vertical="center"/>
    </xf>
    <xf numFmtId="0" fontId="30" fillId="19" borderId="0" xfId="11" applyFill="1" applyAlignment="1">
      <alignment horizontal="left"/>
    </xf>
    <xf numFmtId="0" fontId="63" fillId="0" borderId="0" xfId="0" applyFont="1" applyAlignment="1">
      <alignment horizontal="center" vertical="center" wrapText="1"/>
    </xf>
    <xf numFmtId="0" fontId="63" fillId="0" borderId="0" xfId="0" applyFont="1" applyAlignment="1">
      <alignment horizontal="right" vertical="center" wrapText="1"/>
    </xf>
    <xf numFmtId="0" fontId="67" fillId="2" borderId="0" xfId="11" applyFont="1" applyFill="1" applyAlignment="1">
      <alignment vertical="center" wrapText="1"/>
    </xf>
    <xf numFmtId="0" fontId="63" fillId="0" borderId="0" xfId="11" applyFont="1" applyAlignment="1">
      <alignment horizontal="left" vertical="center"/>
    </xf>
    <xf numFmtId="0" fontId="63" fillId="0" borderId="0" xfId="11" applyFont="1" applyAlignment="1">
      <alignment vertical="center" wrapText="1"/>
    </xf>
    <xf numFmtId="9" fontId="30" fillId="0" borderId="11" xfId="11" applyNumberFormat="1" applyBorder="1" applyAlignment="1">
      <alignment horizontal="center" vertical="center" wrapText="1"/>
    </xf>
    <xf numFmtId="9" fontId="56" fillId="0" borderId="11" xfId="0" applyNumberFormat="1" applyFont="1" applyBorder="1" applyAlignment="1">
      <alignment horizontal="left" vertical="center" wrapText="1"/>
    </xf>
    <xf numFmtId="0" fontId="30" fillId="0" borderId="0" xfId="11" applyAlignment="1">
      <alignment horizontal="left" vertical="center" wrapText="1"/>
    </xf>
    <xf numFmtId="0" fontId="66" fillId="0" borderId="0" xfId="11" applyFont="1" applyAlignment="1">
      <alignment horizontal="left" vertical="center" wrapText="1"/>
    </xf>
    <xf numFmtId="9" fontId="30" fillId="0" borderId="0" xfId="11" applyNumberFormat="1" applyAlignment="1">
      <alignment horizontal="center" vertical="center" wrapText="1"/>
    </xf>
    <xf numFmtId="9" fontId="56" fillId="0" borderId="0" xfId="0" applyNumberFormat="1" applyFont="1" applyAlignment="1">
      <alignment horizontal="center" vertical="center" wrapText="1"/>
    </xf>
    <xf numFmtId="9" fontId="56" fillId="0" borderId="0" xfId="0" applyNumberFormat="1" applyFont="1" applyAlignment="1">
      <alignment horizontal="left" vertical="center" wrapText="1"/>
    </xf>
    <xf numFmtId="0" fontId="79" fillId="0" borderId="0" xfId="11" applyFont="1" applyAlignment="1">
      <alignment horizontal="center" vertical="center"/>
    </xf>
    <xf numFmtId="0" fontId="79" fillId="0" borderId="0" xfId="11" applyFont="1" applyAlignment="1">
      <alignment vertical="center"/>
    </xf>
    <xf numFmtId="0" fontId="81" fillId="2" borderId="0" xfId="11" applyFont="1" applyFill="1" applyAlignment="1">
      <alignment vertical="center" wrapText="1"/>
    </xf>
    <xf numFmtId="0" fontId="80" fillId="2" borderId="0" xfId="11" applyFont="1" applyFill="1" applyAlignment="1">
      <alignment vertical="center" wrapText="1"/>
    </xf>
    <xf numFmtId="0" fontId="81" fillId="0" borderId="0" xfId="11" applyFont="1" applyAlignment="1">
      <alignment vertical="center" wrapText="1"/>
    </xf>
    <xf numFmtId="0" fontId="80" fillId="0" borderId="29" xfId="11" applyFont="1" applyBorder="1" applyAlignment="1">
      <alignment vertical="center" wrapText="1"/>
    </xf>
    <xf numFmtId="0" fontId="67" fillId="2" borderId="29" xfId="11" applyFont="1" applyFill="1" applyBorder="1" applyAlignment="1">
      <alignment horizontal="left" vertical="center" wrapText="1"/>
    </xf>
    <xf numFmtId="0" fontId="80" fillId="0" borderId="10" xfId="11" applyFont="1" applyBorder="1" applyAlignment="1">
      <alignment vertical="center" wrapText="1"/>
    </xf>
    <xf numFmtId="0" fontId="0" fillId="2" borderId="0" xfId="0" applyFill="1" applyAlignment="1">
      <alignment vertical="top" wrapText="1"/>
    </xf>
    <xf numFmtId="0" fontId="62" fillId="0" borderId="10" xfId="0" applyFont="1" applyBorder="1"/>
    <xf numFmtId="0" fontId="62" fillId="0" borderId="0" xfId="0" applyFont="1"/>
    <xf numFmtId="0" fontId="0" fillId="0" borderId="10" xfId="0" applyBorder="1"/>
    <xf numFmtId="0" fontId="0" fillId="0" borderId="10" xfId="0" applyBorder="1" applyAlignment="1">
      <alignment horizontal="center"/>
    </xf>
    <xf numFmtId="9" fontId="0" fillId="0" borderId="10" xfId="0" applyNumberFormat="1" applyBorder="1" applyAlignment="1">
      <alignment horizontal="center"/>
    </xf>
    <xf numFmtId="0" fontId="0" fillId="0" borderId="0" xfId="0" applyAlignment="1">
      <alignment horizontal="center" vertical="center"/>
    </xf>
    <xf numFmtId="0" fontId="62" fillId="0" borderId="10" xfId="0" applyFont="1" applyBorder="1" applyAlignment="1">
      <alignment horizontal="center" vertical="center"/>
    </xf>
    <xf numFmtId="0" fontId="15" fillId="0" borderId="10" xfId="0" applyFont="1" applyBorder="1" applyAlignment="1">
      <alignment horizontal="center" vertical="center"/>
    </xf>
    <xf numFmtId="0" fontId="83" fillId="0" borderId="10" xfId="0" applyFont="1" applyBorder="1" applyAlignment="1">
      <alignment horizontal="center" vertical="center"/>
    </xf>
    <xf numFmtId="0" fontId="84" fillId="0" borderId="10" xfId="0" applyFont="1" applyBorder="1" applyAlignment="1">
      <alignment horizontal="center"/>
    </xf>
    <xf numFmtId="0" fontId="62" fillId="0" borderId="0" xfId="0" applyFont="1" applyAlignment="1">
      <alignment horizontal="center" vertical="center"/>
    </xf>
    <xf numFmtId="0" fontId="0" fillId="0" borderId="0" xfId="0" applyAlignment="1">
      <alignment horizontal="center"/>
    </xf>
    <xf numFmtId="0" fontId="1" fillId="21" borderId="10" xfId="0" applyFont="1" applyFill="1" applyBorder="1" applyAlignment="1" applyProtection="1">
      <alignment horizontal="center" vertical="center"/>
      <protection hidden="1"/>
    </xf>
    <xf numFmtId="0" fontId="1" fillId="21" borderId="10" xfId="0" applyFont="1" applyFill="1" applyBorder="1" applyAlignment="1" applyProtection="1">
      <alignment horizontal="center" vertical="center" textRotation="90"/>
      <protection hidden="1"/>
    </xf>
    <xf numFmtId="9" fontId="1" fillId="21" borderId="10" xfId="0" applyNumberFormat="1" applyFont="1" applyFill="1" applyBorder="1" applyAlignment="1" applyProtection="1">
      <alignment horizontal="center" vertical="center"/>
      <protection hidden="1"/>
    </xf>
    <xf numFmtId="0" fontId="2" fillId="0" borderId="10" xfId="0" applyFont="1" applyBorder="1" applyAlignment="1" applyProtection="1">
      <alignment horizontal="center" vertical="center"/>
      <protection hidden="1"/>
    </xf>
    <xf numFmtId="0" fontId="38" fillId="2" borderId="28" xfId="0" applyFont="1" applyFill="1" applyBorder="1" applyAlignment="1">
      <alignment horizontal="center" vertical="center"/>
    </xf>
    <xf numFmtId="0" fontId="38" fillId="2" borderId="30" xfId="0" applyFont="1" applyFill="1" applyBorder="1" applyAlignment="1">
      <alignment horizontal="center" vertical="center"/>
    </xf>
    <xf numFmtId="0" fontId="38" fillId="2" borderId="29" xfId="0" applyFont="1" applyFill="1" applyBorder="1" applyAlignment="1">
      <alignment horizontal="center" vertical="center"/>
    </xf>
    <xf numFmtId="0" fontId="44" fillId="2" borderId="28" xfId="0" applyFont="1" applyFill="1" applyBorder="1" applyAlignment="1">
      <alignment horizontal="center" vertical="center"/>
    </xf>
    <xf numFmtId="0" fontId="44" fillId="2" borderId="30" xfId="0" applyFont="1" applyFill="1" applyBorder="1" applyAlignment="1">
      <alignment horizontal="center" vertical="center"/>
    </xf>
    <xf numFmtId="0" fontId="43" fillId="2" borderId="28" xfId="0" applyFont="1" applyFill="1" applyBorder="1" applyAlignment="1">
      <alignment horizontal="center" vertical="center"/>
    </xf>
    <xf numFmtId="0" fontId="43" fillId="2" borderId="29" xfId="0" applyFont="1" applyFill="1" applyBorder="1" applyAlignment="1">
      <alignment horizontal="center" vertical="center"/>
    </xf>
    <xf numFmtId="0" fontId="43" fillId="2" borderId="30" xfId="0" applyFont="1" applyFill="1" applyBorder="1" applyAlignment="1">
      <alignment horizontal="center" vertical="center"/>
    </xf>
    <xf numFmtId="0" fontId="43" fillId="2" borderId="28" xfId="0" applyFont="1" applyFill="1" applyBorder="1" applyAlignment="1">
      <alignment horizontal="left" vertical="top" wrapText="1"/>
    </xf>
    <xf numFmtId="0" fontId="43" fillId="2" borderId="29" xfId="0" applyFont="1" applyFill="1" applyBorder="1" applyAlignment="1">
      <alignment horizontal="left" vertical="top" wrapText="1"/>
    </xf>
    <xf numFmtId="0" fontId="43" fillId="2" borderId="30" xfId="0" applyFont="1" applyFill="1" applyBorder="1" applyAlignment="1">
      <alignment horizontal="left" vertical="top" wrapText="1"/>
    </xf>
    <xf numFmtId="0" fontId="43" fillId="2" borderId="28" xfId="0" applyFont="1" applyFill="1" applyBorder="1" applyAlignment="1">
      <alignment vertical="top" wrapText="1"/>
    </xf>
    <xf numFmtId="0" fontId="43" fillId="2" borderId="29" xfId="0" applyFont="1" applyFill="1" applyBorder="1" applyAlignment="1">
      <alignment vertical="top" wrapText="1"/>
    </xf>
    <xf numFmtId="0" fontId="43" fillId="2" borderId="30" xfId="0" applyFont="1" applyFill="1" applyBorder="1" applyAlignment="1">
      <alignment vertical="top" wrapText="1"/>
    </xf>
    <xf numFmtId="0" fontId="43" fillId="2" borderId="28" xfId="0" applyFont="1" applyFill="1" applyBorder="1" applyAlignment="1">
      <alignment vertical="center" wrapText="1"/>
    </xf>
    <xf numFmtId="0" fontId="43" fillId="2" borderId="29" xfId="0" applyFont="1" applyFill="1" applyBorder="1" applyAlignment="1">
      <alignment vertical="center" wrapText="1"/>
    </xf>
    <xf numFmtId="0" fontId="43" fillId="2" borderId="30" xfId="0" applyFont="1" applyFill="1" applyBorder="1" applyAlignment="1">
      <alignment vertical="center" wrapText="1"/>
    </xf>
    <xf numFmtId="0" fontId="39" fillId="11" borderId="0" xfId="0" applyFont="1" applyFill="1" applyAlignment="1">
      <alignment horizontal="center" vertical="center"/>
    </xf>
    <xf numFmtId="0" fontId="38" fillId="10" borderId="10" xfId="0" applyFont="1" applyFill="1" applyBorder="1" applyAlignment="1">
      <alignment horizontal="left" vertical="center"/>
    </xf>
    <xf numFmtId="0" fontId="47" fillId="2" borderId="10" xfId="0" applyFont="1" applyFill="1" applyBorder="1" applyAlignment="1">
      <alignment horizontal="center" vertical="center"/>
    </xf>
    <xf numFmtId="0" fontId="38" fillId="10" borderId="11" xfId="0" applyFont="1" applyFill="1" applyBorder="1" applyAlignment="1">
      <alignment horizontal="left" vertical="center"/>
    </xf>
    <xf numFmtId="0" fontId="37" fillId="0" borderId="36" xfId="0" applyFont="1" applyBorder="1" applyAlignment="1">
      <alignment horizontal="center" vertical="center"/>
    </xf>
    <xf numFmtId="0" fontId="37" fillId="0" borderId="32" xfId="0" applyFont="1" applyBorder="1" applyAlignment="1">
      <alignment horizontal="center" vertical="center"/>
    </xf>
    <xf numFmtId="0" fontId="37"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25" xfId="0" applyFont="1" applyBorder="1" applyAlignment="1">
      <alignment horizontal="center" vertical="center"/>
    </xf>
    <xf numFmtId="0" fontId="33" fillId="0" borderId="33" xfId="0" applyFont="1" applyBorder="1" applyAlignment="1">
      <alignment horizontal="center" vertical="center"/>
    </xf>
    <xf numFmtId="0" fontId="33" fillId="0" borderId="32" xfId="0" applyFont="1" applyBorder="1" applyAlignment="1">
      <alignment horizontal="center" vertical="center"/>
    </xf>
    <xf numFmtId="0" fontId="33" fillId="0" borderId="0" xfId="0" applyFont="1" applyAlignment="1">
      <alignment horizontal="center" vertical="center"/>
    </xf>
    <xf numFmtId="0" fontId="33" fillId="0" borderId="34" xfId="0" applyFont="1" applyBorder="1" applyAlignment="1">
      <alignment horizontal="center" vertical="center"/>
    </xf>
    <xf numFmtId="0" fontId="33" fillId="0" borderId="37" xfId="0" applyFont="1" applyBorder="1" applyAlignment="1">
      <alignment horizontal="center" vertical="center"/>
    </xf>
    <xf numFmtId="0" fontId="33" fillId="0" borderId="26" xfId="0" applyFont="1" applyBorder="1" applyAlignment="1">
      <alignment horizontal="center" vertical="center"/>
    </xf>
    <xf numFmtId="0" fontId="33" fillId="0" borderId="35" xfId="0" applyFont="1" applyBorder="1" applyAlignment="1">
      <alignment horizontal="center" vertical="center"/>
    </xf>
    <xf numFmtId="0" fontId="27" fillId="0" borderId="10" xfId="0" applyFont="1" applyBorder="1" applyAlignment="1">
      <alignment horizontal="left" vertical="center"/>
    </xf>
    <xf numFmtId="0" fontId="42" fillId="11" borderId="10" xfId="0" applyFont="1" applyFill="1" applyBorder="1" applyAlignment="1">
      <alignment horizontal="center" vertical="center" wrapText="1"/>
    </xf>
    <xf numFmtId="0" fontId="42" fillId="11" borderId="10" xfId="0" applyFont="1" applyFill="1" applyBorder="1" applyAlignment="1">
      <alignment horizontal="center" vertical="center"/>
    </xf>
    <xf numFmtId="0" fontId="1" fillId="0" borderId="10" xfId="0" applyFont="1" applyBorder="1" applyAlignment="1" applyProtection="1">
      <alignment horizontal="center"/>
      <protection hidden="1"/>
    </xf>
    <xf numFmtId="0" fontId="41" fillId="0" borderId="36" xfId="0" applyFont="1" applyBorder="1" applyAlignment="1" applyProtection="1">
      <alignment horizontal="center" vertical="center"/>
      <protection hidden="1"/>
    </xf>
    <xf numFmtId="0" fontId="41" fillId="0" borderId="25" xfId="0" applyFont="1" applyBorder="1" applyAlignment="1" applyProtection="1">
      <alignment horizontal="center" vertical="center"/>
      <protection hidden="1"/>
    </xf>
    <xf numFmtId="0" fontId="41" fillId="0" borderId="33" xfId="0" applyFont="1" applyBorder="1" applyAlignment="1" applyProtection="1">
      <alignment horizontal="center" vertical="center"/>
      <protection hidden="1"/>
    </xf>
    <xf numFmtId="0" fontId="41" fillId="0" borderId="32" xfId="0" applyFont="1" applyBorder="1" applyAlignment="1" applyProtection="1">
      <alignment horizontal="center" vertical="center"/>
      <protection hidden="1"/>
    </xf>
    <xf numFmtId="0" fontId="41" fillId="0" borderId="0" xfId="0" applyFont="1" applyAlignment="1" applyProtection="1">
      <alignment horizontal="center" vertical="center"/>
      <protection hidden="1"/>
    </xf>
    <xf numFmtId="0" fontId="41" fillId="0" borderId="34" xfId="0" applyFont="1" applyBorder="1" applyAlignment="1" applyProtection="1">
      <alignment horizontal="center" vertical="center"/>
      <protection hidden="1"/>
    </xf>
    <xf numFmtId="0" fontId="41" fillId="0" borderId="37" xfId="0" applyFont="1" applyBorder="1" applyAlignment="1" applyProtection="1">
      <alignment horizontal="center" vertical="center"/>
      <protection hidden="1"/>
    </xf>
    <xf numFmtId="0" fontId="41" fillId="0" borderId="26" xfId="0" applyFont="1" applyBorder="1" applyAlignment="1" applyProtection="1">
      <alignment horizontal="center" vertical="center"/>
      <protection hidden="1"/>
    </xf>
    <xf numFmtId="0" fontId="41" fillId="0" borderId="35" xfId="0" applyFont="1" applyBorder="1" applyAlignment="1" applyProtection="1">
      <alignment horizontal="center" vertical="center"/>
      <protection hidden="1"/>
    </xf>
    <xf numFmtId="0" fontId="4" fillId="0" borderId="28" xfId="0" applyFont="1" applyBorder="1" applyAlignment="1" applyProtection="1">
      <alignment horizontal="left" vertical="center"/>
      <protection hidden="1"/>
    </xf>
    <xf numFmtId="0" fontId="4" fillId="0" borderId="29" xfId="0" applyFont="1" applyBorder="1" applyAlignment="1" applyProtection="1">
      <alignment horizontal="left" vertical="center"/>
      <protection hidden="1"/>
    </xf>
    <xf numFmtId="0" fontId="4" fillId="0" borderId="30" xfId="0" applyFont="1" applyBorder="1" applyAlignment="1" applyProtection="1">
      <alignment horizontal="left" vertical="center"/>
      <protection hidden="1"/>
    </xf>
    <xf numFmtId="0" fontId="41" fillId="9" borderId="28" xfId="0" applyFont="1" applyFill="1" applyBorder="1" applyAlignment="1" applyProtection="1">
      <alignment horizontal="center" vertical="center"/>
      <protection hidden="1"/>
    </xf>
    <xf numFmtId="0" fontId="41" fillId="9" borderId="29" xfId="0" applyFont="1" applyFill="1" applyBorder="1" applyAlignment="1" applyProtection="1">
      <alignment horizontal="center" vertical="center"/>
      <protection hidden="1"/>
    </xf>
    <xf numFmtId="0" fontId="41" fillId="9" borderId="30" xfId="0" applyFont="1" applyFill="1" applyBorder="1" applyAlignment="1" applyProtection="1">
      <alignment horizontal="center" vertical="center"/>
      <protection hidden="1"/>
    </xf>
    <xf numFmtId="0" fontId="21" fillId="0" borderId="10" xfId="0" applyFont="1" applyBorder="1" applyAlignment="1" applyProtection="1">
      <alignment horizontal="left" vertical="center" wrapText="1"/>
      <protection hidden="1"/>
    </xf>
    <xf numFmtId="0" fontId="36" fillId="12" borderId="28" xfId="0" applyFont="1" applyFill="1" applyBorder="1" applyAlignment="1" applyProtection="1">
      <alignment horizontal="center" vertical="center"/>
      <protection hidden="1"/>
    </xf>
    <xf numFmtId="0" fontId="36" fillId="12" borderId="29" xfId="0" applyFont="1" applyFill="1" applyBorder="1" applyAlignment="1" applyProtection="1">
      <alignment horizontal="center" vertical="center"/>
      <protection hidden="1"/>
    </xf>
    <xf numFmtId="0" fontId="36" fillId="12" borderId="30" xfId="0" applyFont="1" applyFill="1" applyBorder="1" applyAlignment="1" applyProtection="1">
      <alignment horizontal="center" vertical="center"/>
      <protection hidden="1"/>
    </xf>
    <xf numFmtId="0" fontId="4" fillId="13" borderId="10" xfId="0" applyFont="1" applyFill="1" applyBorder="1" applyAlignment="1" applyProtection="1">
      <alignment horizontal="center" vertical="center"/>
      <protection hidden="1"/>
    </xf>
    <xf numFmtId="0" fontId="41" fillId="9" borderId="25" xfId="0" applyFont="1" applyFill="1" applyBorder="1" applyAlignment="1" applyProtection="1">
      <alignment horizontal="center" vertical="center"/>
      <protection hidden="1"/>
    </xf>
    <xf numFmtId="0" fontId="41" fillId="9" borderId="33" xfId="0" applyFont="1" applyFill="1" applyBorder="1" applyAlignment="1" applyProtection="1">
      <alignment horizontal="center" vertical="center"/>
      <protection hidden="1"/>
    </xf>
    <xf numFmtId="0" fontId="41" fillId="9" borderId="26" xfId="0" applyFont="1" applyFill="1" applyBorder="1" applyAlignment="1" applyProtection="1">
      <alignment horizontal="center" vertical="center"/>
      <protection hidden="1"/>
    </xf>
    <xf numFmtId="0" fontId="41" fillId="9" borderId="35" xfId="0" applyFont="1" applyFill="1" applyBorder="1" applyAlignment="1" applyProtection="1">
      <alignment horizontal="center" vertical="center"/>
      <protection hidden="1"/>
    </xf>
    <xf numFmtId="0" fontId="21" fillId="0" borderId="36" xfId="0" applyFont="1" applyBorder="1" applyAlignment="1" applyProtection="1">
      <alignment horizontal="left" vertical="center" wrapText="1"/>
      <protection hidden="1"/>
    </xf>
    <xf numFmtId="0" fontId="21" fillId="0" borderId="33" xfId="0" applyFont="1" applyBorder="1" applyAlignment="1" applyProtection="1">
      <alignment horizontal="left" vertical="center" wrapText="1"/>
      <protection hidden="1"/>
    </xf>
    <xf numFmtId="0" fontId="21" fillId="0" borderId="37" xfId="0" applyFont="1" applyBorder="1" applyAlignment="1" applyProtection="1">
      <alignment horizontal="left" vertical="center" wrapText="1"/>
      <protection hidden="1"/>
    </xf>
    <xf numFmtId="0" fontId="21" fillId="0" borderId="35" xfId="0" applyFont="1" applyBorder="1" applyAlignment="1" applyProtection="1">
      <alignment horizontal="left" vertical="center" wrapText="1"/>
      <protection hidden="1"/>
    </xf>
    <xf numFmtId="0" fontId="40" fillId="9" borderId="10" xfId="0" applyFont="1" applyFill="1" applyBorder="1" applyAlignment="1" applyProtection="1">
      <alignment horizontal="center" vertical="center"/>
      <protection hidden="1"/>
    </xf>
    <xf numFmtId="14" fontId="21" fillId="0" borderId="28" xfId="0" applyNumberFormat="1" applyFont="1" applyBorder="1" applyAlignment="1" applyProtection="1">
      <alignment horizontal="left" vertical="center" wrapText="1"/>
      <protection hidden="1"/>
    </xf>
    <xf numFmtId="0" fontId="21" fillId="0" borderId="30" xfId="0" applyFont="1" applyBorder="1" applyAlignment="1" applyProtection="1">
      <alignment horizontal="left" vertical="center" wrapText="1"/>
      <protection hidden="1"/>
    </xf>
    <xf numFmtId="0" fontId="4" fillId="9" borderId="10" xfId="0" applyFont="1" applyFill="1" applyBorder="1" applyAlignment="1" applyProtection="1">
      <alignment horizontal="center" vertical="center"/>
      <protection hidden="1"/>
    </xf>
    <xf numFmtId="0" fontId="21" fillId="0" borderId="28" xfId="0" applyFont="1" applyBorder="1" applyAlignment="1" applyProtection="1">
      <alignment horizontal="left" vertical="center" wrapText="1"/>
      <protection hidden="1"/>
    </xf>
    <xf numFmtId="0" fontId="4" fillId="9" borderId="10" xfId="0" applyFont="1" applyFill="1" applyBorder="1" applyAlignment="1" applyProtection="1">
      <alignment horizontal="center" vertical="center" textRotation="90"/>
      <protection hidden="1"/>
    </xf>
    <xf numFmtId="0" fontId="4" fillId="9" borderId="10" xfId="0" applyFont="1" applyFill="1" applyBorder="1" applyAlignment="1" applyProtection="1">
      <alignment horizontal="center" vertical="center" wrapText="1"/>
      <protection hidden="1"/>
    </xf>
    <xf numFmtId="0" fontId="4" fillId="9" borderId="27" xfId="0" applyFont="1" applyFill="1" applyBorder="1" applyAlignment="1" applyProtection="1">
      <alignment horizontal="center" vertical="center" wrapText="1"/>
      <protection hidden="1"/>
    </xf>
    <xf numFmtId="0" fontId="4" fillId="9" borderId="31" xfId="0" applyFont="1" applyFill="1" applyBorder="1" applyAlignment="1" applyProtection="1">
      <alignment horizontal="center" vertical="center" wrapText="1"/>
      <protection hidden="1"/>
    </xf>
    <xf numFmtId="0" fontId="4" fillId="9" borderId="11" xfId="0" applyFont="1" applyFill="1" applyBorder="1" applyAlignment="1" applyProtection="1">
      <alignment horizontal="center" vertical="center" wrapText="1"/>
      <protection hidden="1"/>
    </xf>
    <xf numFmtId="0" fontId="4" fillId="9" borderId="31" xfId="0" applyFont="1" applyFill="1" applyBorder="1" applyAlignment="1" applyProtection="1">
      <alignment horizontal="center" vertical="center"/>
      <protection hidden="1"/>
    </xf>
    <xf numFmtId="0" fontId="4" fillId="9" borderId="11" xfId="0" applyFont="1" applyFill="1" applyBorder="1" applyAlignment="1" applyProtection="1">
      <alignment horizontal="center" vertical="center"/>
      <protection hidden="1"/>
    </xf>
    <xf numFmtId="0" fontId="4" fillId="9" borderId="27" xfId="0" applyFont="1" applyFill="1" applyBorder="1" applyAlignment="1" applyProtection="1">
      <alignment horizontal="center" vertical="center" wrapText="1"/>
      <protection locked="0"/>
    </xf>
    <xf numFmtId="0" fontId="4" fillId="9" borderId="31" xfId="0" applyFont="1" applyFill="1" applyBorder="1" applyAlignment="1" applyProtection="1">
      <alignment horizontal="center" vertical="center" wrapText="1"/>
      <protection locked="0"/>
    </xf>
    <xf numFmtId="0" fontId="4" fillId="9" borderId="11" xfId="0" applyFont="1" applyFill="1" applyBorder="1" applyAlignment="1" applyProtection="1">
      <alignment horizontal="center" vertical="center" wrapText="1"/>
      <protection locked="0"/>
    </xf>
    <xf numFmtId="0" fontId="4" fillId="9" borderId="29" xfId="0" applyFont="1" applyFill="1" applyBorder="1" applyAlignment="1" applyProtection="1">
      <alignment horizontal="center" vertical="center"/>
      <protection hidden="1"/>
    </xf>
    <xf numFmtId="0" fontId="4" fillId="9" borderId="10" xfId="0" applyFont="1" applyFill="1" applyBorder="1" applyAlignment="1" applyProtection="1">
      <alignment horizontal="center" vertical="center" textRotation="90" wrapText="1"/>
      <protection hidden="1"/>
    </xf>
    <xf numFmtId="0" fontId="4" fillId="13" borderId="27" xfId="0" applyFont="1" applyFill="1" applyBorder="1" applyAlignment="1" applyProtection="1">
      <alignment horizontal="center" vertical="center" textRotation="90" wrapText="1"/>
      <protection hidden="1"/>
    </xf>
    <xf numFmtId="0" fontId="4" fillId="13" borderId="11" xfId="0" applyFont="1" applyFill="1" applyBorder="1" applyAlignment="1" applyProtection="1">
      <alignment horizontal="center" vertical="center" textRotation="90" wrapText="1"/>
      <protection hidden="1"/>
    </xf>
    <xf numFmtId="0" fontId="4" fillId="9" borderId="27" xfId="0" applyFont="1" applyFill="1" applyBorder="1" applyAlignment="1" applyProtection="1">
      <alignment horizontal="center" vertical="center" textRotation="90" wrapText="1"/>
      <protection hidden="1"/>
    </xf>
    <xf numFmtId="0" fontId="4" fillId="9" borderId="11" xfId="0" applyFont="1" applyFill="1" applyBorder="1" applyAlignment="1" applyProtection="1">
      <alignment horizontal="center" vertical="center" textRotation="90" wrapText="1"/>
      <protection hidden="1"/>
    </xf>
    <xf numFmtId="0" fontId="34" fillId="9" borderId="27" xfId="0" applyFont="1" applyFill="1" applyBorder="1" applyAlignment="1" applyProtection="1">
      <alignment horizontal="center" vertical="center" wrapText="1"/>
      <protection hidden="1"/>
    </xf>
    <xf numFmtId="0" fontId="34" fillId="9" borderId="11" xfId="0" applyFont="1" applyFill="1" applyBorder="1" applyAlignment="1" applyProtection="1">
      <alignment horizontal="center" vertical="center" wrapText="1"/>
      <protection hidden="1"/>
    </xf>
    <xf numFmtId="0" fontId="1" fillId="0" borderId="10"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wrapText="1"/>
      <protection hidden="1"/>
    </xf>
    <xf numFmtId="0" fontId="4"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4" fillId="9" borderId="28" xfId="0" applyFont="1" applyFill="1" applyBorder="1" applyAlignment="1" applyProtection="1">
      <alignment horizontal="center" vertical="center" wrapText="1"/>
      <protection hidden="1"/>
    </xf>
    <xf numFmtId="0" fontId="4" fillId="9" borderId="29" xfId="0" applyFont="1" applyFill="1" applyBorder="1" applyAlignment="1" applyProtection="1">
      <alignment horizontal="center" vertical="center" wrapText="1"/>
      <protection hidden="1"/>
    </xf>
    <xf numFmtId="0" fontId="4" fillId="9" borderId="30" xfId="0" applyFont="1" applyFill="1" applyBorder="1" applyAlignment="1" applyProtection="1">
      <alignment horizontal="center" vertical="center" wrapText="1"/>
      <protection hidden="1"/>
    </xf>
    <xf numFmtId="0" fontId="4" fillId="9" borderId="29" xfId="0" applyFont="1" applyFill="1" applyBorder="1" applyAlignment="1" applyProtection="1">
      <alignment horizontal="center"/>
      <protection hidden="1"/>
    </xf>
    <xf numFmtId="0" fontId="4" fillId="0" borderId="27" xfId="0" applyFont="1" applyBorder="1" applyAlignment="1" applyProtection="1">
      <alignment horizontal="center" vertical="center" textRotation="90" wrapText="1"/>
      <protection hidden="1"/>
    </xf>
    <xf numFmtId="0" fontId="4" fillId="0" borderId="31" xfId="0" applyFont="1" applyBorder="1" applyAlignment="1" applyProtection="1">
      <alignment horizontal="center" vertical="center" textRotation="90" wrapText="1"/>
      <protection hidden="1"/>
    </xf>
    <xf numFmtId="164" fontId="1" fillId="0" borderId="27" xfId="1" applyNumberFormat="1" applyFont="1" applyBorder="1" applyAlignment="1" applyProtection="1">
      <alignment horizontal="center" vertical="center"/>
      <protection hidden="1"/>
    </xf>
    <xf numFmtId="164" fontId="1" fillId="0" borderId="31" xfId="1" applyNumberFormat="1" applyFont="1" applyBorder="1" applyAlignment="1" applyProtection="1">
      <alignment horizontal="center" vertical="center"/>
      <protection hidden="1"/>
    </xf>
    <xf numFmtId="0" fontId="2" fillId="0" borderId="27"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1" fillId="0" borderId="27" xfId="0" applyFont="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9" fontId="1" fillId="0" borderId="10" xfId="0" applyNumberFormat="1" applyFont="1" applyBorder="1" applyAlignment="1" applyProtection="1">
      <alignment horizontal="center" vertical="center" wrapText="1"/>
      <protection hidden="1"/>
    </xf>
    <xf numFmtId="0" fontId="51" fillId="0" borderId="10"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4" fillId="0" borderId="27" xfId="0" applyFont="1" applyBorder="1" applyAlignment="1" applyProtection="1">
      <alignment horizontal="center" vertical="center" textRotation="90"/>
      <protection hidden="1"/>
    </xf>
    <xf numFmtId="0" fontId="4" fillId="0" borderId="31" xfId="0" applyFont="1" applyBorder="1" applyAlignment="1" applyProtection="1">
      <alignment horizontal="center" vertical="center" textRotation="90"/>
      <protection hidden="1"/>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0" fontId="61" fillId="0" borderId="10" xfId="0" applyFont="1" applyBorder="1" applyAlignment="1" applyProtection="1">
      <alignment horizontal="left" vertical="top"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horizontal="left" vertical="center" wrapText="1"/>
      <protection locked="0"/>
    </xf>
    <xf numFmtId="0" fontId="4" fillId="0" borderId="10" xfId="0" applyFont="1" applyBorder="1" applyAlignment="1" applyProtection="1">
      <alignment horizontal="center" vertical="center" textRotation="90"/>
      <protection hidden="1"/>
    </xf>
    <xf numFmtId="0" fontId="1" fillId="2" borderId="10" xfId="0" applyFont="1" applyFill="1" applyBorder="1" applyAlignment="1" applyProtection="1">
      <alignment horizontal="center" vertical="center" wrapText="1"/>
      <protection hidden="1"/>
    </xf>
    <xf numFmtId="0" fontId="4" fillId="0" borderId="10" xfId="0" applyFont="1" applyBorder="1" applyAlignment="1" applyProtection="1">
      <alignment horizontal="left" vertical="top" wrapText="1"/>
      <protection locked="0"/>
    </xf>
    <xf numFmtId="0" fontId="2" fillId="0" borderId="31" xfId="0" applyFont="1" applyBorder="1" applyAlignment="1" applyProtection="1">
      <alignment horizontal="center" vertical="center" wrapText="1"/>
      <protection hidden="1"/>
    </xf>
    <xf numFmtId="0" fontId="1" fillId="2" borderId="10" xfId="0" applyFont="1" applyFill="1" applyBorder="1" applyAlignment="1" applyProtection="1">
      <alignment horizontal="left" vertical="center" wrapText="1"/>
      <protection locked="0"/>
    </xf>
    <xf numFmtId="0" fontId="51" fillId="2" borderId="10" xfId="0" applyFont="1" applyFill="1" applyBorder="1" applyAlignment="1" applyProtection="1">
      <alignment horizontal="left" vertical="top" wrapText="1"/>
      <protection locked="0"/>
    </xf>
    <xf numFmtId="0" fontId="1" fillId="2" borderId="10" xfId="0" applyFont="1" applyFill="1" applyBorder="1" applyAlignment="1" applyProtection="1">
      <alignment horizontal="left" vertical="top" wrapText="1"/>
      <protection locked="0"/>
    </xf>
    <xf numFmtId="0" fontId="1" fillId="0" borderId="27" xfId="0" applyFont="1" applyBorder="1" applyAlignment="1" applyProtection="1">
      <alignment horizontal="center" vertical="center"/>
      <protection hidden="1"/>
    </xf>
    <xf numFmtId="0" fontId="1" fillId="0" borderId="31" xfId="0" applyFont="1" applyBorder="1" applyAlignment="1" applyProtection="1">
      <alignment horizontal="center" vertical="center"/>
      <protection hidden="1"/>
    </xf>
    <xf numFmtId="0" fontId="61" fillId="2" borderId="10" xfId="0" applyFont="1" applyFill="1" applyBorder="1" applyAlignment="1" applyProtection="1">
      <alignment horizontal="left" vertical="top" wrapText="1"/>
      <protection locked="0"/>
    </xf>
    <xf numFmtId="0" fontId="4" fillId="2" borderId="10" xfId="0" applyFont="1" applyFill="1" applyBorder="1" applyAlignment="1" applyProtection="1">
      <alignment horizontal="left" vertical="top" wrapText="1"/>
      <protection locked="0"/>
    </xf>
    <xf numFmtId="0" fontId="1" fillId="2" borderId="10"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left" vertical="center" wrapText="1"/>
      <protection locked="0"/>
    </xf>
    <xf numFmtId="0" fontId="1" fillId="0" borderId="27" xfId="0" applyFont="1" applyBorder="1" applyAlignment="1" applyProtection="1">
      <alignment horizontal="left" vertical="center" wrapText="1"/>
      <protection locked="0"/>
    </xf>
    <xf numFmtId="0" fontId="1" fillId="0" borderId="31"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27" xfId="0" applyFont="1" applyBorder="1" applyAlignment="1" applyProtection="1">
      <alignment horizontal="left" vertical="top" wrapText="1"/>
      <protection locked="0"/>
    </xf>
    <xf numFmtId="0" fontId="1" fillId="0" borderId="31"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1" fillId="2" borderId="27" xfId="0" applyFont="1" applyFill="1" applyBorder="1" applyAlignment="1" applyProtection="1">
      <alignment horizontal="center" vertical="center" wrapText="1"/>
      <protection hidden="1"/>
    </xf>
    <xf numFmtId="0" fontId="1" fillId="2" borderId="31"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center" vertical="center" wrapText="1"/>
      <protection hidden="1"/>
    </xf>
    <xf numFmtId="0" fontId="4" fillId="0" borderId="27" xfId="0" applyFont="1" applyBorder="1" applyAlignment="1" applyProtection="1">
      <alignment horizontal="left" vertical="top" wrapText="1"/>
      <protection locked="0"/>
    </xf>
    <xf numFmtId="0" fontId="4" fillId="0" borderId="31"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1" fillId="0" borderId="27"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4" fillId="0" borderId="27" xfId="0" applyFont="1" applyBorder="1" applyAlignment="1" applyProtection="1">
      <alignment horizontal="left" vertical="center" wrapText="1"/>
      <protection locked="0"/>
    </xf>
    <xf numFmtId="0" fontId="4" fillId="0" borderId="31"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1" fillId="0" borderId="11" xfId="0" applyFont="1" applyBorder="1" applyAlignment="1" applyProtection="1">
      <alignment horizontal="center" vertical="center" wrapText="1"/>
      <protection hidden="1"/>
    </xf>
    <xf numFmtId="0" fontId="1" fillId="2" borderId="27" xfId="0" applyFont="1" applyFill="1" applyBorder="1" applyAlignment="1" applyProtection="1">
      <alignment horizontal="left" vertical="top" wrapText="1"/>
      <protection locked="0"/>
    </xf>
    <xf numFmtId="0" fontId="1" fillId="2" borderId="31"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1" fillId="2" borderId="27" xfId="0" applyFont="1" applyFill="1" applyBorder="1" applyAlignment="1" applyProtection="1">
      <alignment horizontal="center" vertical="center"/>
      <protection hidden="1"/>
    </xf>
    <xf numFmtId="0" fontId="1" fillId="2" borderId="31" xfId="0" applyFont="1" applyFill="1" applyBorder="1" applyAlignment="1" applyProtection="1">
      <alignment horizontal="center" vertical="center"/>
      <protection hidden="1"/>
    </xf>
    <xf numFmtId="0" fontId="1" fillId="2" borderId="11" xfId="0" applyFont="1" applyFill="1" applyBorder="1" applyAlignment="1" applyProtection="1">
      <alignment horizontal="center" vertical="center"/>
      <protection hidden="1"/>
    </xf>
    <xf numFmtId="0" fontId="4" fillId="2" borderId="27" xfId="0" applyFont="1" applyFill="1" applyBorder="1" applyAlignment="1" applyProtection="1">
      <alignment horizontal="left" vertical="top" wrapText="1"/>
      <protection locked="0"/>
    </xf>
    <xf numFmtId="0" fontId="4" fillId="2" borderId="31" xfId="0" applyFont="1" applyFill="1" applyBorder="1" applyAlignment="1" applyProtection="1">
      <alignment horizontal="left" vertical="top" wrapText="1"/>
      <protection locked="0"/>
    </xf>
    <xf numFmtId="0" fontId="4" fillId="2" borderId="11" xfId="0" applyFont="1" applyFill="1" applyBorder="1" applyAlignment="1" applyProtection="1">
      <alignment horizontal="left" vertical="top" wrapText="1"/>
      <protection locked="0"/>
    </xf>
    <xf numFmtId="0" fontId="1" fillId="2" borderId="27" xfId="0" applyFont="1" applyFill="1" applyBorder="1" applyAlignment="1" applyProtection="1">
      <alignment horizontal="center" vertical="center" wrapText="1"/>
      <protection locked="0"/>
    </xf>
    <xf numFmtId="0" fontId="1" fillId="2" borderId="31"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4" fillId="2" borderId="27" xfId="0" applyFont="1" applyFill="1" applyBorder="1" applyAlignment="1" applyProtection="1">
      <alignment horizontal="left" vertical="center" wrapText="1"/>
      <protection locked="0"/>
    </xf>
    <xf numFmtId="0" fontId="4" fillId="2" borderId="31"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xf numFmtId="0" fontId="1" fillId="2" borderId="27" xfId="0" applyFont="1" applyFill="1" applyBorder="1" applyAlignment="1" applyProtection="1">
      <alignment horizontal="left" vertical="center" wrapText="1"/>
      <protection locked="0"/>
    </xf>
    <xf numFmtId="0" fontId="1" fillId="2" borderId="31" xfId="0" applyFont="1" applyFill="1" applyBorder="1" applyAlignment="1" applyProtection="1">
      <alignment horizontal="left" vertical="center" wrapText="1"/>
      <protection locked="0"/>
    </xf>
    <xf numFmtId="0" fontId="1" fillId="2" borderId="11" xfId="0" applyFont="1" applyFill="1" applyBorder="1" applyAlignment="1" applyProtection="1">
      <alignment horizontal="left" vertical="center" wrapText="1"/>
      <protection locked="0"/>
    </xf>
    <xf numFmtId="0" fontId="61" fillId="0" borderId="27" xfId="0" applyFont="1" applyBorder="1" applyAlignment="1" applyProtection="1">
      <alignment horizontal="left" vertical="center" wrapText="1"/>
      <protection locked="0"/>
    </xf>
    <xf numFmtId="0" fontId="51" fillId="0" borderId="27" xfId="0" applyFont="1" applyBorder="1" applyAlignment="1" applyProtection="1">
      <alignment horizontal="left" vertical="top" wrapText="1"/>
      <protection locked="0"/>
    </xf>
    <xf numFmtId="0" fontId="61" fillId="0" borderId="27" xfId="0" applyFont="1" applyBorder="1" applyAlignment="1" applyProtection="1">
      <alignment horizontal="left" vertical="top" wrapText="1"/>
      <protection locked="0"/>
    </xf>
    <xf numFmtId="9" fontId="1" fillId="0" borderId="27" xfId="0" applyNumberFormat="1" applyFont="1" applyBorder="1" applyAlignment="1" applyProtection="1">
      <alignment horizontal="center" vertical="center" wrapText="1"/>
      <protection hidden="1"/>
    </xf>
    <xf numFmtId="9" fontId="1" fillId="0" borderId="31" xfId="0" applyNumberFormat="1" applyFont="1" applyBorder="1" applyAlignment="1" applyProtection="1">
      <alignment horizontal="center" vertical="center" wrapText="1"/>
      <protection hidden="1"/>
    </xf>
    <xf numFmtId="9" fontId="1" fillId="0" borderId="11" xfId="0" applyNumberFormat="1" applyFont="1" applyBorder="1" applyAlignment="1" applyProtection="1">
      <alignment horizontal="center" vertical="center" wrapText="1"/>
      <protection hidden="1"/>
    </xf>
    <xf numFmtId="0" fontId="51" fillId="0" borderId="31" xfId="0" applyFont="1" applyBorder="1" applyAlignment="1" applyProtection="1">
      <alignment horizontal="left" vertical="top" wrapText="1"/>
      <protection locked="0"/>
    </xf>
    <xf numFmtId="0" fontId="1" fillId="0" borderId="27" xfId="0" applyFont="1" applyBorder="1" applyAlignment="1" applyProtection="1">
      <alignment horizontal="center" vertical="center" textRotation="90" wrapText="1"/>
      <protection hidden="1"/>
    </xf>
    <xf numFmtId="0" fontId="1" fillId="0" borderId="31" xfId="0" applyFont="1" applyBorder="1" applyAlignment="1" applyProtection="1">
      <alignment horizontal="center" vertical="center" textRotation="90" wrapText="1"/>
      <protection hidden="1"/>
    </xf>
    <xf numFmtId="0" fontId="1" fillId="0" borderId="11" xfId="0" applyFont="1" applyBorder="1" applyAlignment="1" applyProtection="1">
      <alignment horizontal="center" vertical="center" textRotation="90" wrapText="1"/>
      <protection hidden="1"/>
    </xf>
    <xf numFmtId="0" fontId="61" fillId="0" borderId="31" xfId="0" applyFont="1" applyBorder="1" applyAlignment="1" applyProtection="1">
      <alignment horizontal="left" vertical="top" wrapText="1"/>
      <protection locked="0"/>
    </xf>
    <xf numFmtId="0" fontId="4" fillId="0" borderId="11" xfId="0" applyFont="1" applyBorder="1" applyAlignment="1" applyProtection="1">
      <alignment horizontal="center" vertical="center" textRotation="90"/>
      <protection hidden="1"/>
    </xf>
    <xf numFmtId="0" fontId="4" fillId="0" borderId="11" xfId="0" applyFont="1" applyBorder="1" applyAlignment="1" applyProtection="1">
      <alignment horizontal="center" vertical="center" textRotation="90" wrapText="1"/>
      <protection hidden="1"/>
    </xf>
    <xf numFmtId="164" fontId="1" fillId="0" borderId="11" xfId="1" applyNumberFormat="1" applyFont="1" applyBorder="1" applyAlignment="1" applyProtection="1">
      <alignment horizontal="center" vertical="center"/>
      <protection hidden="1"/>
    </xf>
    <xf numFmtId="0" fontId="1" fillId="0" borderId="11" xfId="0" applyFont="1" applyBorder="1" applyAlignment="1" applyProtection="1">
      <alignment horizontal="center" vertical="center" textRotation="90"/>
      <protection hidden="1"/>
    </xf>
    <xf numFmtId="0" fontId="1" fillId="2" borderId="27" xfId="0" applyFont="1" applyFill="1" applyBorder="1" applyAlignment="1" applyProtection="1">
      <alignment vertical="center" wrapText="1"/>
      <protection locked="0"/>
    </xf>
    <xf numFmtId="0" fontId="1" fillId="2" borderId="31" xfId="0" applyFont="1" applyFill="1" applyBorder="1" applyAlignment="1" applyProtection="1">
      <alignment vertical="center" wrapText="1"/>
      <protection locked="0"/>
    </xf>
    <xf numFmtId="0" fontId="4" fillId="0" borderId="10" xfId="0" applyFont="1" applyBorder="1" applyAlignment="1" applyProtection="1">
      <alignment horizontal="center" vertical="center" textRotation="90" wrapText="1"/>
      <protection hidden="1"/>
    </xf>
    <xf numFmtId="0" fontId="1" fillId="0" borderId="10" xfId="0" applyFont="1" applyBorder="1" applyAlignment="1" applyProtection="1">
      <alignment horizontal="left" vertical="top"/>
      <protection locked="0"/>
    </xf>
    <xf numFmtId="0" fontId="1" fillId="0" borderId="10" xfId="0" applyFont="1" applyBorder="1" applyAlignment="1" applyProtection="1">
      <alignment horizontal="center" vertical="center"/>
      <protection locked="0"/>
    </xf>
    <xf numFmtId="0" fontId="1" fillId="0" borderId="27" xfId="0" applyFont="1" applyBorder="1" applyAlignment="1" applyProtection="1">
      <alignment horizontal="left" vertical="center" wrapText="1"/>
      <protection hidden="1"/>
    </xf>
    <xf numFmtId="0" fontId="1" fillId="0" borderId="31" xfId="0" applyFont="1" applyBorder="1" applyAlignment="1" applyProtection="1">
      <alignment horizontal="left" vertical="center" wrapText="1"/>
      <protection hidden="1"/>
    </xf>
    <xf numFmtId="0" fontId="1" fillId="0" borderId="11" xfId="0" applyFont="1" applyBorder="1" applyAlignment="1" applyProtection="1">
      <alignment horizontal="left" vertical="center" wrapText="1"/>
      <protection hidden="1"/>
    </xf>
    <xf numFmtId="0" fontId="35" fillId="0" borderId="27" xfId="0" applyFont="1" applyBorder="1" applyAlignment="1" applyProtection="1">
      <alignment horizontal="center" vertical="center" wrapText="1"/>
      <protection hidden="1"/>
    </xf>
    <xf numFmtId="0" fontId="35" fillId="0" borderId="31" xfId="0" applyFont="1" applyBorder="1" applyAlignment="1" applyProtection="1">
      <alignment horizontal="center" vertical="center" wrapText="1"/>
      <protection hidden="1"/>
    </xf>
    <xf numFmtId="0" fontId="35" fillId="2" borderId="27" xfId="0" applyFont="1" applyFill="1" applyBorder="1" applyAlignment="1" applyProtection="1">
      <alignment horizontal="center" vertical="center" wrapText="1"/>
      <protection hidden="1"/>
    </xf>
    <xf numFmtId="0" fontId="35" fillId="2" borderId="31" xfId="0" applyFont="1" applyFill="1" applyBorder="1" applyAlignment="1" applyProtection="1">
      <alignment horizontal="center" vertical="center" wrapText="1"/>
      <protection hidden="1"/>
    </xf>
    <xf numFmtId="0" fontId="4" fillId="0" borderId="10" xfId="0" applyFont="1" applyBorder="1" applyAlignment="1" applyProtection="1">
      <alignment horizontal="left" vertical="center" wrapText="1"/>
      <protection locked="0"/>
    </xf>
    <xf numFmtId="164" fontId="1" fillId="0" borderId="10" xfId="1" applyNumberFormat="1" applyFont="1" applyBorder="1" applyAlignment="1" applyProtection="1">
      <alignment horizontal="center" vertical="center"/>
      <protection hidden="1"/>
    </xf>
    <xf numFmtId="0" fontId="53"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center" vertical="center" wrapText="1"/>
      <protection locked="0"/>
    </xf>
    <xf numFmtId="0" fontId="53" fillId="0" borderId="10"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1" fillId="0" borderId="28" xfId="0" applyFont="1" applyBorder="1" applyAlignment="1" applyProtection="1">
      <alignment horizontal="left" vertical="center" wrapText="1"/>
      <protection hidden="1"/>
    </xf>
    <xf numFmtId="0" fontId="1" fillId="0" borderId="29" xfId="0" applyFont="1" applyBorder="1" applyAlignment="1" applyProtection="1">
      <alignment horizontal="left" vertical="center" wrapText="1"/>
      <protection hidden="1"/>
    </xf>
    <xf numFmtId="0" fontId="1" fillId="0" borderId="30" xfId="0" applyFont="1" applyBorder="1" applyAlignment="1" applyProtection="1">
      <alignment horizontal="left" vertical="center" wrapText="1"/>
      <protection hidden="1"/>
    </xf>
    <xf numFmtId="0" fontId="45" fillId="9" borderId="2" xfId="0" applyFont="1" applyFill="1" applyBorder="1" applyAlignment="1" applyProtection="1">
      <alignment horizontal="left" vertical="top" wrapText="1"/>
      <protection hidden="1"/>
    </xf>
    <xf numFmtId="0" fontId="45" fillId="9" borderId="9" xfId="0" applyFont="1" applyFill="1" applyBorder="1" applyAlignment="1" applyProtection="1">
      <alignment horizontal="left" vertical="top" wrapText="1"/>
      <protection hidden="1"/>
    </xf>
    <xf numFmtId="0" fontId="45" fillId="9" borderId="3" xfId="0" applyFont="1" applyFill="1" applyBorder="1" applyAlignment="1" applyProtection="1">
      <alignment horizontal="left" vertical="top" wrapText="1"/>
      <protection hidden="1"/>
    </xf>
    <xf numFmtId="0" fontId="1" fillId="9" borderId="10" xfId="0" applyFont="1" applyFill="1" applyBorder="1" applyAlignment="1" applyProtection="1">
      <alignment horizontal="center" vertical="center"/>
      <protection hidden="1"/>
    </xf>
    <xf numFmtId="0" fontId="1" fillId="0" borderId="10" xfId="0" applyFont="1" applyBorder="1" applyAlignment="1" applyProtection="1">
      <alignment horizontal="left" vertical="top" wrapText="1"/>
      <protection hidden="1"/>
    </xf>
    <xf numFmtId="0" fontId="1" fillId="0" borderId="10" xfId="0" applyFont="1" applyBorder="1" applyAlignment="1" applyProtection="1">
      <alignment horizontal="left" vertical="center" wrapText="1"/>
      <protection hidden="1"/>
    </xf>
    <xf numFmtId="0" fontId="63" fillId="0" borderId="10" xfId="11" applyFont="1" applyBorder="1" applyAlignment="1">
      <alignment horizontal="center" vertical="center"/>
    </xf>
    <xf numFmtId="0" fontId="67" fillId="2" borderId="10" xfId="11" applyFont="1" applyFill="1" applyBorder="1" applyAlignment="1">
      <alignment horizontal="left" vertical="center" wrapText="1"/>
    </xf>
    <xf numFmtId="0" fontId="63" fillId="19" borderId="12" xfId="11" applyFont="1" applyFill="1" applyBorder="1" applyAlignment="1">
      <alignment horizontal="center"/>
    </xf>
    <xf numFmtId="0" fontId="63" fillId="19" borderId="13" xfId="11" applyFont="1" applyFill="1" applyBorder="1" applyAlignment="1">
      <alignment horizontal="center"/>
    </xf>
    <xf numFmtId="0" fontId="63" fillId="19" borderId="24" xfId="11" applyFont="1" applyFill="1" applyBorder="1" applyAlignment="1">
      <alignment horizontal="center"/>
    </xf>
    <xf numFmtId="0" fontId="63" fillId="0" borderId="41" xfId="11" applyFont="1" applyBorder="1" applyAlignment="1">
      <alignment horizontal="center" vertical="center" wrapText="1"/>
    </xf>
    <xf numFmtId="0" fontId="63" fillId="0" borderId="42" xfId="11" applyFont="1" applyBorder="1" applyAlignment="1">
      <alignment horizontal="center" vertical="center" wrapText="1"/>
    </xf>
    <xf numFmtId="0" fontId="63" fillId="0" borderId="10" xfId="11" applyFont="1" applyBorder="1" applyAlignment="1">
      <alignment horizontal="center" vertical="center" wrapText="1"/>
    </xf>
    <xf numFmtId="0" fontId="63" fillId="0" borderId="14" xfId="11" applyFont="1" applyBorder="1" applyAlignment="1">
      <alignment horizontal="center" vertical="center" textRotation="90" wrapText="1"/>
    </xf>
    <xf numFmtId="0" fontId="63" fillId="0" borderId="16" xfId="11" applyFont="1" applyBorder="1" applyAlignment="1">
      <alignment horizontal="center" vertical="center" textRotation="90" wrapText="1"/>
    </xf>
    <xf numFmtId="0" fontId="63" fillId="0" borderId="43" xfId="11" applyFont="1" applyBorder="1" applyAlignment="1">
      <alignment horizontal="center" vertical="center" textRotation="90" wrapText="1"/>
    </xf>
    <xf numFmtId="0" fontId="63" fillId="0" borderId="44" xfId="11" applyFont="1" applyBorder="1" applyAlignment="1">
      <alignment horizontal="center" vertical="center" textRotation="90" wrapText="1"/>
    </xf>
    <xf numFmtId="0" fontId="63" fillId="0" borderId="46" xfId="11" applyFont="1" applyBorder="1" applyAlignment="1">
      <alignment horizontal="center" vertical="center" textRotation="90" wrapText="1"/>
    </xf>
    <xf numFmtId="0" fontId="63" fillId="0" borderId="47" xfId="11" applyFont="1" applyBorder="1" applyAlignment="1">
      <alignment horizontal="center" vertical="center" textRotation="90" wrapText="1"/>
    </xf>
    <xf numFmtId="0" fontId="63" fillId="0" borderId="20" xfId="11" applyFont="1" applyBorder="1" applyAlignment="1">
      <alignment horizontal="center" vertical="center" textRotation="90" wrapText="1"/>
    </xf>
    <xf numFmtId="0" fontId="78" fillId="2" borderId="0" xfId="11" applyFont="1" applyFill="1" applyAlignment="1">
      <alignment horizontal="center"/>
    </xf>
    <xf numFmtId="0" fontId="63" fillId="0" borderId="45" xfId="11" applyFont="1" applyBorder="1" applyAlignment="1">
      <alignment horizontal="center" vertical="center" wrapText="1"/>
    </xf>
    <xf numFmtId="0" fontId="63" fillId="0" borderId="39" xfId="11" applyFont="1" applyBorder="1" applyAlignment="1">
      <alignment horizontal="center" vertical="center" wrapText="1"/>
    </xf>
    <xf numFmtId="0" fontId="63" fillId="0" borderId="40" xfId="11" applyFont="1" applyBorder="1" applyAlignment="1">
      <alignment horizontal="center" vertical="center" wrapText="1"/>
    </xf>
    <xf numFmtId="0" fontId="63" fillId="0" borderId="28" xfId="11" applyFont="1" applyBorder="1" applyAlignment="1">
      <alignment horizontal="center" vertical="center" textRotation="90" wrapText="1"/>
    </xf>
    <xf numFmtId="0" fontId="66" fillId="0" borderId="28" xfId="11" applyFont="1" applyBorder="1" applyAlignment="1">
      <alignment horizontal="center" vertical="center" wrapText="1"/>
    </xf>
    <xf numFmtId="0" fontId="66" fillId="0" borderId="29" xfId="11" applyFont="1" applyBorder="1" applyAlignment="1">
      <alignment horizontal="center" vertical="center" wrapText="1"/>
    </xf>
    <xf numFmtId="0" fontId="66" fillId="0" borderId="30" xfId="11" applyFont="1" applyBorder="1" applyAlignment="1">
      <alignment horizontal="center" vertical="center" wrapText="1"/>
    </xf>
    <xf numFmtId="0" fontId="67" fillId="2" borderId="11" xfId="11" applyFont="1" applyFill="1" applyBorder="1" applyAlignment="1">
      <alignment horizontal="left" vertical="center" wrapText="1"/>
    </xf>
    <xf numFmtId="0" fontId="63" fillId="19" borderId="2" xfId="11" applyFont="1" applyFill="1" applyBorder="1" applyAlignment="1">
      <alignment horizontal="center"/>
    </xf>
    <xf numFmtId="0" fontId="63" fillId="19" borderId="9" xfId="11" applyFont="1" applyFill="1" applyBorder="1" applyAlignment="1">
      <alignment horizontal="center"/>
    </xf>
    <xf numFmtId="0" fontId="63" fillId="19" borderId="3" xfId="11" applyFont="1" applyFill="1" applyBorder="1" applyAlignment="1">
      <alignment horizontal="center"/>
    </xf>
    <xf numFmtId="0" fontId="0" fillId="2" borderId="4" xfId="0" applyFill="1" applyBorder="1" applyAlignment="1">
      <alignment horizontal="left" vertical="top" wrapText="1"/>
    </xf>
    <xf numFmtId="0" fontId="0" fillId="2" borderId="0" xfId="0" applyFill="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8" xfId="0" applyFill="1" applyBorder="1" applyAlignment="1">
      <alignment horizontal="left" vertical="top" wrapText="1"/>
    </xf>
    <xf numFmtId="0" fontId="0" fillId="2" borderId="7" xfId="0" applyFill="1" applyBorder="1" applyAlignment="1">
      <alignment horizontal="left" vertical="top" wrapText="1"/>
    </xf>
    <xf numFmtId="0" fontId="62" fillId="0" borderId="28" xfId="0" applyFont="1" applyBorder="1" applyAlignment="1">
      <alignment horizontal="center"/>
    </xf>
    <xf numFmtId="0" fontId="62" fillId="0" borderId="30" xfId="0" applyFont="1" applyBorder="1" applyAlignment="1">
      <alignment horizontal="center"/>
    </xf>
    <xf numFmtId="0" fontId="62" fillId="0" borderId="10" xfId="0" applyFont="1" applyBorder="1" applyAlignment="1">
      <alignment horizontal="center"/>
    </xf>
    <xf numFmtId="0" fontId="80" fillId="0" borderId="28" xfId="11" applyFont="1" applyBorder="1" applyAlignment="1">
      <alignment horizontal="center" vertical="center" wrapText="1"/>
    </xf>
    <xf numFmtId="0" fontId="80" fillId="0" borderId="29" xfId="11" applyFont="1" applyBorder="1" applyAlignment="1">
      <alignment horizontal="center" vertical="center" wrapText="1"/>
    </xf>
    <xf numFmtId="0" fontId="80" fillId="0" borderId="30" xfId="11" applyFont="1" applyBorder="1" applyAlignment="1">
      <alignment horizontal="center" vertical="center" wrapText="1"/>
    </xf>
    <xf numFmtId="0" fontId="82" fillId="2" borderId="12" xfId="0" applyFont="1" applyFill="1" applyBorder="1" applyAlignment="1">
      <alignment horizontal="center" vertical="center"/>
    </xf>
    <xf numFmtId="0" fontId="82" fillId="2" borderId="13" xfId="0" applyFont="1" applyFill="1" applyBorder="1" applyAlignment="1">
      <alignment horizontal="center" vertical="center"/>
    </xf>
    <xf numFmtId="0" fontId="82" fillId="2" borderId="24" xfId="0" applyFont="1" applyFill="1" applyBorder="1" applyAlignment="1">
      <alignment horizontal="center" vertical="center"/>
    </xf>
    <xf numFmtId="0" fontId="0" fillId="2" borderId="2" xfId="0" applyFill="1" applyBorder="1" applyAlignment="1">
      <alignment vertical="top" wrapText="1"/>
    </xf>
    <xf numFmtId="0" fontId="0" fillId="2" borderId="9" xfId="0" applyFill="1" applyBorder="1" applyAlignment="1">
      <alignment vertical="top" wrapText="1"/>
    </xf>
    <xf numFmtId="0" fontId="0" fillId="2" borderId="3" xfId="0" applyFill="1" applyBorder="1" applyAlignment="1">
      <alignment vertical="top" wrapText="1"/>
    </xf>
    <xf numFmtId="0" fontId="0" fillId="2" borderId="4" xfId="0" applyFill="1" applyBorder="1" applyAlignment="1">
      <alignment horizontal="left" vertical="top"/>
    </xf>
    <xf numFmtId="0" fontId="0" fillId="2" borderId="0" xfId="0" applyFill="1" applyAlignment="1">
      <alignment horizontal="left" vertical="top"/>
    </xf>
    <xf numFmtId="0" fontId="0" fillId="2" borderId="5" xfId="0" applyFill="1" applyBorder="1" applyAlignment="1">
      <alignment horizontal="left" vertical="top"/>
    </xf>
    <xf numFmtId="0" fontId="16" fillId="0" borderId="0" xfId="0" applyFont="1" applyAlignment="1">
      <alignment horizontal="center" vertical="center"/>
    </xf>
    <xf numFmtId="0" fontId="57" fillId="0" borderId="38" xfId="0" applyFont="1" applyBorder="1" applyAlignment="1">
      <alignment horizontal="center" vertical="center" wrapText="1"/>
    </xf>
    <xf numFmtId="0" fontId="57" fillId="0" borderId="39" xfId="0" applyFont="1" applyBorder="1" applyAlignment="1">
      <alignment horizontal="center" vertical="center" wrapText="1"/>
    </xf>
    <xf numFmtId="0" fontId="57" fillId="0" borderId="40" xfId="0" applyFont="1" applyBorder="1" applyAlignment="1">
      <alignment horizontal="center" vertical="center" wrapText="1"/>
    </xf>
    <xf numFmtId="0" fontId="26" fillId="10" borderId="12" xfId="0" applyFont="1" applyFill="1" applyBorder="1" applyAlignment="1">
      <alignment horizontal="center" vertical="center" wrapText="1" readingOrder="1"/>
    </xf>
    <xf numFmtId="0" fontId="26" fillId="10" borderId="13" xfId="0" applyFont="1" applyFill="1" applyBorder="1" applyAlignment="1">
      <alignment horizontal="center" vertical="center" wrapText="1" readingOrder="1"/>
    </xf>
    <xf numFmtId="0" fontId="26" fillId="10" borderId="24" xfId="0" applyFont="1" applyFill="1" applyBorder="1" applyAlignment="1">
      <alignment horizontal="center" vertical="center" wrapText="1" readingOrder="1"/>
    </xf>
    <xf numFmtId="0" fontId="21" fillId="2" borderId="0" xfId="0" applyFont="1" applyFill="1" applyAlignment="1">
      <alignment horizontal="justify" vertical="center" wrapText="1"/>
    </xf>
    <xf numFmtId="0" fontId="23" fillId="10" borderId="21" xfId="0" applyFont="1" applyFill="1" applyBorder="1" applyAlignment="1">
      <alignment horizontal="center" vertical="center" wrapText="1" readingOrder="1"/>
    </xf>
    <xf numFmtId="0" fontId="23" fillId="10" borderId="22" xfId="0" applyFont="1" applyFill="1" applyBorder="1" applyAlignment="1">
      <alignment horizontal="center" vertical="center" wrapText="1" readingOrder="1"/>
    </xf>
    <xf numFmtId="0" fontId="23" fillId="2" borderId="19" xfId="0" applyFont="1" applyFill="1" applyBorder="1" applyAlignment="1">
      <alignment horizontal="center" vertical="center" wrapText="1" readingOrder="1"/>
    </xf>
    <xf numFmtId="0" fontId="23" fillId="2" borderId="14" xfId="0" applyFont="1" applyFill="1" applyBorder="1" applyAlignment="1">
      <alignment horizontal="center" vertical="center" wrapText="1" readingOrder="1"/>
    </xf>
    <xf numFmtId="0" fontId="23" fillId="2" borderId="11" xfId="0" applyFont="1" applyFill="1" applyBorder="1" applyAlignment="1">
      <alignment horizontal="center" vertical="center" wrapText="1" readingOrder="1"/>
    </xf>
    <xf numFmtId="0" fontId="23" fillId="2" borderId="10" xfId="0" applyFont="1" applyFill="1" applyBorder="1" applyAlignment="1">
      <alignment horizontal="center" vertical="center" wrapText="1" readingOrder="1"/>
    </xf>
    <xf numFmtId="0" fontId="23" fillId="2" borderId="16" xfId="0" applyFont="1" applyFill="1" applyBorder="1" applyAlignment="1">
      <alignment horizontal="center" vertical="center" wrapText="1" readingOrder="1"/>
    </xf>
    <xf numFmtId="0" fontId="23" fillId="2" borderId="17" xfId="0" applyFont="1" applyFill="1" applyBorder="1" applyAlignment="1">
      <alignment horizontal="center" vertical="center" wrapText="1" readingOrder="1"/>
    </xf>
  </cellXfs>
  <cellStyles count="13">
    <cellStyle name="Hipervínculo" xfId="5" builtinId="8" hidden="1"/>
    <cellStyle name="Hipervínculo" xfId="7" builtinId="8" hidden="1"/>
    <cellStyle name="Hipervínculo" xfId="9" builtinId="8" hidden="1"/>
    <cellStyle name="Hipervínculo visitado" xfId="6" builtinId="9" hidden="1"/>
    <cellStyle name="Hipervínculo visitado" xfId="8" builtinId="9" hidden="1"/>
    <cellStyle name="Hipervínculo visitado" xfId="10" builtinId="9" hidden="1"/>
    <cellStyle name="Normal" xfId="0" builtinId="0"/>
    <cellStyle name="Normal - Style1 2" xfId="2" xr:uid="{00000000-0005-0000-0000-000007000000}"/>
    <cellStyle name="Normal 2" xfId="4" xr:uid="{00000000-0005-0000-0000-000008000000}"/>
    <cellStyle name="Normal 2 2" xfId="3" xr:uid="{00000000-0005-0000-0000-000009000000}"/>
    <cellStyle name="Normal 2 3" xfId="11" xr:uid="{C39B92EE-B5D4-4F9A-AE5B-FF090713E458}"/>
    <cellStyle name="Normal 3" xfId="12" xr:uid="{ACDA918B-5D87-4283-8006-77FD00DFF142}"/>
    <cellStyle name="Porcentaje" xfId="1" builtinId="5"/>
  </cellStyles>
  <dxfs count="57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FFC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00B050"/>
        </patternFill>
      </fill>
    </dxf>
    <dxf>
      <fill>
        <patternFill>
          <bgColor rgb="FFFF0000"/>
        </patternFill>
      </fill>
    </dxf>
    <dxf>
      <font>
        <color auto="1"/>
      </font>
      <fill>
        <patternFill>
          <bgColor rgb="FF92D050"/>
        </patternFill>
      </fill>
    </dxf>
    <dxf>
      <fill>
        <patternFill>
          <bgColor rgb="FFFFFF66"/>
        </patternFill>
      </fill>
    </dxf>
    <dxf>
      <fill>
        <patternFill>
          <bgColor rgb="FFFFC000"/>
        </patternFill>
      </fill>
    </dxf>
    <dxf>
      <font>
        <color auto="1"/>
      </font>
      <fill>
        <patternFill>
          <bgColor rgb="FF92D050"/>
        </patternFill>
      </fill>
    </dxf>
    <dxf>
      <fill>
        <patternFill>
          <bgColor rgb="FFFFFF66"/>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FFC000"/>
        </patternFill>
      </fill>
    </dxf>
    <dxf>
      <fill>
        <patternFill>
          <bgColor rgb="FFFFFF66"/>
        </patternFill>
      </fill>
    </dxf>
    <dxf>
      <font>
        <color auto="1"/>
      </font>
      <fill>
        <patternFill>
          <bgColor rgb="FF92D050"/>
        </patternFill>
      </fill>
    </dxf>
    <dxf>
      <fill>
        <patternFill>
          <bgColor rgb="FFFF0000"/>
        </patternFill>
      </fill>
    </dxf>
    <dxf>
      <fill>
        <patternFill>
          <bgColor rgb="FF00B05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85FFFC"/>
      <color rgb="FFFDDFF4"/>
      <color rgb="FFFF9900"/>
      <color rgb="FF26FAAE"/>
      <color rgb="FFFF66FF"/>
      <color rgb="FFFFFF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1200150</xdr:colOff>
      <xdr:row>0</xdr:row>
      <xdr:rowOff>133350</xdr:rowOff>
    </xdr:from>
    <xdr:ext cx="1015853" cy="615661"/>
    <xdr:pic>
      <xdr:nvPicPr>
        <xdr:cNvPr id="2" name="2 Imagen">
          <a:extLst>
            <a:ext uri="{FF2B5EF4-FFF2-40B4-BE49-F238E27FC236}">
              <a16:creationId xmlns:a16="http://schemas.microsoft.com/office/drawing/2014/main" id="{40D80572-7087-4085-AC18-0B56BEF2592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4320" y="133350"/>
          <a:ext cx="1015853" cy="615661"/>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E2197B5D-98C0-49FC-87C1-3470F77F4183}"/>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26</xdr:row>
      <xdr:rowOff>179295</xdr:rowOff>
    </xdr:to>
    <xdr:pic>
      <xdr:nvPicPr>
        <xdr:cNvPr id="3" name="Imagen 2">
          <a:extLst>
            <a:ext uri="{FF2B5EF4-FFF2-40B4-BE49-F238E27FC236}">
              <a16:creationId xmlns:a16="http://schemas.microsoft.com/office/drawing/2014/main" id="{DDE8A174-9554-466A-9459-F8D7B65571BF}"/>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orena.Rave\Downloads\MATRIZ%20F.xlsx" TargetMode="External"/><Relationship Id="rId1" Type="http://schemas.openxmlformats.org/officeDocument/2006/relationships/externalLinkPath" Target="file:///C:\Users\Lorena.Rave\Downloads\MATRIZ%20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MATRIZ DE RIESGOS"/>
    </sheetNames>
    <sheetDataSet>
      <sheetData sheetId="0">
        <row r="6">
          <cell r="D6" t="str">
            <v>Gestión Financiera</v>
          </cell>
        </row>
        <row r="15">
          <cell r="A15" t="str">
            <v>GF16</v>
          </cell>
          <cell r="G15" t="str">
            <v>Posibilidad de afectación reputacional y económica del Instituto por quejas interpuestas de manera informal o por correo electrónico por parte de los proveedores y contratistas, por disminución en la liquidez institucional, por pérdida de recursos, así como por posibles acciones legales de terceros. Lo anterior, debido a la realización de desembolsos por valores diferentes a los obligados.</v>
          </cell>
          <cell r="J15" t="str">
            <v>Alta</v>
          </cell>
          <cell r="L15" t="str">
            <v>Moderado</v>
          </cell>
          <cell r="AE15">
            <v>0.33600000000000002</v>
          </cell>
          <cell r="AG15">
            <v>0.6</v>
          </cell>
        </row>
        <row r="17">
          <cell r="A17" t="str">
            <v>GF17</v>
          </cell>
          <cell r="G17" t="str">
            <v>Posibilidad de afectación económica por disminución en la liquidez institucional así como por pérdida de recursos, debido a la realización de pagos dobles de obligaciones.</v>
          </cell>
          <cell r="J17" t="str">
            <v>Alta</v>
          </cell>
          <cell r="L17" t="str">
            <v>Mayor</v>
          </cell>
          <cell r="AE17">
            <v>0.33600000000000002</v>
          </cell>
          <cell r="AG17">
            <v>0.60000000000000009</v>
          </cell>
        </row>
        <row r="20">
          <cell r="A20" t="str">
            <v>GF18</v>
          </cell>
          <cell r="G20" t="str">
            <v>Posibilidad de afectación económica y reputacional del Instituto por perdida de recursos y por lo tanto posibles sanciones de índole disciplinaria, penal y/o económica por parte de los entes de control, debido a la apropiación de recursos financieros por parte empleados o terceros para el beneficio particular.</v>
          </cell>
          <cell r="J20" t="str">
            <v>Alta</v>
          </cell>
          <cell r="L20" t="str">
            <v>Catastrófico</v>
          </cell>
          <cell r="AE20">
            <v>8.4671999999999997E-2</v>
          </cell>
          <cell r="AG20">
            <v>0.75</v>
          </cell>
        </row>
        <row r="26">
          <cell r="A26" t="str">
            <v>GF30</v>
          </cell>
          <cell r="G26" t="str">
            <v>Posibilidad de afectación reputacional y económica para el Instituto reflejada en quejas por parte la comunidad por no recibir los productos y servicios derivados de los proyectos de inversión, Quejas por parte de proveedores por el no pago de obligaciones contractuales, Requerimientos por parte del Distrito y el Concejo de Medellín derivados del incumplimiento de metas de Plan de Desarrollo Distrital, Hallazgos por parte de entes de Control, pago de intereses de mora por el incumplimiento de los pagos,  disminución en las transferencias distritales por baja ejecución del PAC asi como por posibles acciones legales de terceros. Lo anterior, debido a que no se de cumplimiento a los pagos con relación al PAC proyectado de gastos.</v>
          </cell>
          <cell r="J26" t="str">
            <v>Alta</v>
          </cell>
          <cell r="L26" t="str">
            <v>Mayor</v>
          </cell>
          <cell r="AE26">
            <v>0.28799999999999998</v>
          </cell>
          <cell r="AG26">
            <v>0.45000000000000007</v>
          </cell>
        </row>
        <row r="30">
          <cell r="A30" t="str">
            <v>GF31</v>
          </cell>
          <cell r="G30" t="str">
            <v>Posibilidad de afectación reputacional del Instituto reflejada en hallazgos por parte de los entes de control y requerimiento del Concejo Ditstrital de Medellín, debido a que no se de cumplimiento al reintegro mensual de los rendimientos financieros con relación a la resolución 112 CODFIS.</v>
          </cell>
          <cell r="J30" t="str">
            <v>Media</v>
          </cell>
          <cell r="L30" t="str">
            <v>Mayor</v>
          </cell>
          <cell r="AE30">
            <v>0.216</v>
          </cell>
          <cell r="AG30">
            <v>0.60000000000000009</v>
          </cell>
        </row>
        <row r="33">
          <cell r="A33" t="str">
            <v>GF32</v>
          </cell>
          <cell r="G33" t="str">
            <v>Posibilidad de afectacion reputacional y económico, reflejada en requerimeintos del Distrito y el Concejo Distrital por el incumplimiento de metas y objetivos de Plan de Desarrollo, hallazgos por parte de los entes de control, pago de multas, sanciones, intereses moratorias por el incumplimiento en el pago de obligaciones. Lo anterior, debido a que no se desembolsen las transferencias pactadas por parte del Distrito.</v>
          </cell>
          <cell r="J33" t="str">
            <v>Media</v>
          </cell>
          <cell r="L33" t="str">
            <v>Catastrófico</v>
          </cell>
          <cell r="AE33">
            <v>0.6</v>
          </cell>
          <cell r="AG33">
            <v>0.5625</v>
          </cell>
        </row>
        <row r="35">
          <cell r="A35" t="str">
            <v>GF19</v>
          </cell>
          <cell r="G35" t="str">
            <v>Posibilidad de afectación económica y reputacional del Instituto por disminución de ingresos que afecta el cumplimiento de pagos, detrimento patrimonial así como por hallazgos de los entes de control, debido al aumento de la cartera hipotecaria de aquellas obligaciones mayor a 6 cuotas vencidas (&gt; 180 días).</v>
          </cell>
          <cell r="J35" t="str">
            <v>Alta</v>
          </cell>
          <cell r="L35" t="str">
            <v>Mayor</v>
          </cell>
          <cell r="AE35">
            <v>0.16464000000000001</v>
          </cell>
          <cell r="AG35">
            <v>0.45000000000000007</v>
          </cell>
        </row>
        <row r="44">
          <cell r="A44" t="str">
            <v>GF33</v>
          </cell>
          <cell r="G44" t="str">
            <v>Posibilidad de afectación económica y reputacional reflejada en el incumplimiento de la meta mensual de recaudo, asi como de a dismunución en la disponbilidad de recursos para gastos de funcionamiento de la entidad, debido a que la cartera &lt;=6 cuotas acumule cuotas vencidas y por lo tanto se incremente.</v>
          </cell>
          <cell r="J44" t="str">
            <v>Media</v>
          </cell>
          <cell r="L44" t="str">
            <v>Moderado</v>
          </cell>
          <cell r="AE44">
            <v>4.6655999999999996E-2</v>
          </cell>
          <cell r="AG44">
            <v>0.44999999999999996</v>
          </cell>
        </row>
        <row r="50">
          <cell r="A50" t="str">
            <v>GF20</v>
          </cell>
          <cell r="G50" t="str">
            <v>Posibilidad de afectación reputacional del Instituto reflejada en la  insatisfacción de la alta dirección por no contar con información contable que revele la realidad económica de la entidad, y necesaria para efectos de control, toma de decisiones y rendición de cuentas, en  hallazgos y sanciones por parte de los entes de control, así como en informes contables y financieros con dictamen negativo o con salvedades por parte de la Contraloría General de Medellín. Lo anterior debido a que la información financiera generada por la entidad no cumple con las características de relevancia y representación fiel de que trata el Régimen de Contabilidad Pública.</v>
          </cell>
          <cell r="J50" t="str">
            <v>Muy Alta</v>
          </cell>
          <cell r="L50" t="str">
            <v>Mayor</v>
          </cell>
          <cell r="AE50">
            <v>9.0719999999999995E-2</v>
          </cell>
          <cell r="AG50">
            <v>0.60000000000000009</v>
          </cell>
        </row>
        <row r="56">
          <cell r="A56" t="str">
            <v>GF26</v>
          </cell>
          <cell r="G56" t="str">
            <v>Posibilidad de afectación economica y reputacional, por pago de intereses moratorios, sanciones tributarias de la DIAN y el Distrito de Medellín,, asi como por PQRSD de proveedores que expresan su incorformidad relacionada con el no pago o devolución de facturas. Lo anterior, debido a que  los documentos que soportan hechos económicos no son entregados a Contabilidad dentro del tiempo establecido para su causación.</v>
          </cell>
          <cell r="J56" t="str">
            <v>Alta</v>
          </cell>
          <cell r="L56" t="str">
            <v>Moderado</v>
          </cell>
          <cell r="AE56">
            <v>0.33600000000000002</v>
          </cell>
          <cell r="AG56">
            <v>0.6</v>
          </cell>
        </row>
        <row r="60">
          <cell r="A60" t="str">
            <v>GF27</v>
          </cell>
          <cell r="G60" t="str">
            <v>Posiblidad de afectación reputacional reflejada en la insatisfacción de la alta dirección por no contar con información contable oportuna y necesaria para efectos de control, toma de decisiones y rendición de cuentas así como por hallazgos o sanciones por parte de los entes de control. lo anterior, debido  a que no se cumpla con la elaboración, certificación y publicación de los estados financieros de manera trimestral.</v>
          </cell>
          <cell r="J60" t="str">
            <v>Baja</v>
          </cell>
          <cell r="L60" t="str">
            <v>Mayor</v>
          </cell>
          <cell r="AE60">
            <v>0.14399999999999999</v>
          </cell>
          <cell r="AG60">
            <v>0.45000000000000007</v>
          </cell>
        </row>
        <row r="64">
          <cell r="A64" t="str">
            <v>GF28</v>
          </cell>
          <cell r="G64" t="str">
            <v>Posiblidad de afectación reputacional reflejada en insatisfacción de la alta dirección por no contar con información contable precisa para efectos de control, toma de decisiones y rendición de cuentas así como hallazgos por parte de los entes de control, debido a que existan diferencias entre la información contable prensentada a la CGN a través del CHIP y la del sistema de información contable de la entidad.</v>
          </cell>
          <cell r="J64" t="str">
            <v>Alta</v>
          </cell>
          <cell r="L64" t="str">
            <v>Mayor</v>
          </cell>
          <cell r="AE64">
            <v>0.33599999999999997</v>
          </cell>
          <cell r="AG64">
            <v>0.60000000000000009</v>
          </cell>
        </row>
        <row r="67">
          <cell r="A67" t="str">
            <v>GF29</v>
          </cell>
          <cell r="G67" t="str">
            <v>Posiblidad de afectación económica y reputacional, reflejada en multas y sanciones por parte de la DIAN y el Distrito de Medellín así como por hallazgos de los Entes de Control, debido a que no se cumpla el cronograma de pago de impuestos.</v>
          </cell>
          <cell r="J67" t="str">
            <v>Media</v>
          </cell>
          <cell r="L67" t="str">
            <v>Mayor</v>
          </cell>
          <cell r="AE67">
            <v>4.6655999999999996E-2</v>
          </cell>
          <cell r="AG67">
            <v>0.60000000000000009</v>
          </cell>
        </row>
        <row r="73">
          <cell r="A73" t="str">
            <v>GF32</v>
          </cell>
          <cell r="G73" t="str">
            <v xml:space="preserve">Posibilidad de afectación económica reflejada en multas y sanciones a cargo del Instituto asi como afectación de la calidad de la información contable en lo que respecta a su veracidad y confiabilidad derivando en Hallazgos de los Entes de Control. Lo anterior, debido a la inexactitud en los saldos de la cuentas de Recursos Entregados en Administración por diferencias no justificadas entre los saldos del Estado de Situación Financiera a diciembre 31 de cada vigencia y los saldos de los reportes por operaciones recíprocas de las Entidades contratistas.
</v>
          </cell>
          <cell r="J73" t="str">
            <v>Media</v>
          </cell>
          <cell r="L73" t="str">
            <v>Moderado</v>
          </cell>
          <cell r="AE73">
            <v>0.36</v>
          </cell>
          <cell r="AG73">
            <v>0.44999999999999996</v>
          </cell>
        </row>
        <row r="76">
          <cell r="A76" t="str">
            <v>GF34</v>
          </cell>
          <cell r="G76" t="str">
            <v>Posibilidad de afectación reputacional reflejada en hallazgos por parte de los entes de control debido a la existencia de diferencias de información de los activos de bienes inmuebles de la entidad entre libros contables e inventarios físicos que derivan en la sobreestimación o subestimación de la cuenta de inventarios.</v>
          </cell>
          <cell r="J76" t="str">
            <v>media</v>
          </cell>
          <cell r="L76" t="str">
            <v>moderado</v>
          </cell>
          <cell r="AE76">
            <v>0.6</v>
          </cell>
          <cell r="AG76">
            <v>0.44999999999999996</v>
          </cell>
        </row>
        <row r="79">
          <cell r="A79" t="str">
            <v>GF22</v>
          </cell>
          <cell r="G79" t="str">
            <v>Posibilidad de afectación económica del Instituto por multas y sanciones aplicadas por los entes de control, debido a la no rendición y/o rendición extemporánea de informes de ley.</v>
          </cell>
          <cell r="J79" t="str">
            <v>Media</v>
          </cell>
          <cell r="L79" t="str">
            <v>Moderado</v>
          </cell>
          <cell r="AE79">
            <v>7.5600000000000001E-2</v>
          </cell>
          <cell r="AG79">
            <v>0.6</v>
          </cell>
        </row>
        <row r="84">
          <cell r="A84" t="str">
            <v>GF23</v>
          </cell>
          <cell r="G84" t="str">
            <v>Posibilidad de afectación económica y reputacional, por mal desempeño institucional derivado del incumplimiento de metas relacionadas con el Plan de Desarrollo Municipal a cargo del Instituto, así como por sanciones económicas, disciplinarias y/o penales por parte de los entes de control. Lo anterior debido a una asignación presupuestal errónea, que incumple los parámetros legales y contractuales establecidos</v>
          </cell>
          <cell r="J84" t="str">
            <v>Media</v>
          </cell>
          <cell r="L84" t="str">
            <v>Catastrófico</v>
          </cell>
          <cell r="AE84">
            <v>7.7759999999999996E-2</v>
          </cell>
          <cell r="AG84">
            <v>0.75</v>
          </cell>
        </row>
        <row r="90">
          <cell r="A90" t="str">
            <v>GF24</v>
          </cell>
          <cell r="G90" t="str">
            <v xml:space="preserve">Posibilidad de afectación economica y reputacional reflejada en: 
1. baja ejecución presupuestal que podría conllevar a unareducción del presupuesto inicialmente asignado y/o  congelación o no giro de la transferencias distritales. 2. requerimientos del Distrito, el Consejo Distrital y/o entes de control derivados del
incumplimiento de metas de Plan de Desarrollo. 3. requerimientos por parte de la comunidad en relación con el incumplimiento en la prestación de los serviciós del Instituto y 4 requerimientos por parte de los contratistas en relación con el incumplimiento de las obligaciones contractuales a cargo del Instituto.
Lo anterior, debido a que no se generen alertas oportunas por parte del area de Presupuesto con relación a la ejecución presupuestal. </v>
          </cell>
          <cell r="J90" t="str">
            <v>Media</v>
          </cell>
          <cell r="L90" t="str">
            <v>Mayor</v>
          </cell>
          <cell r="AE90">
            <v>0.216</v>
          </cell>
          <cell r="AG90">
            <v>0.8</v>
          </cell>
        </row>
        <row r="92">
          <cell r="A92" t="str">
            <v>GF25</v>
          </cell>
          <cell r="G92" t="str">
            <v>Posiblidad de afectación reputacional por incumplimiento en la ejecución presupuestal de ingresos y gastos proyectada, debido a la existencia de traslados presupuestales por rubros deficitados sin justificación valida</v>
          </cell>
          <cell r="J92" t="str">
            <v>Baja</v>
          </cell>
          <cell r="L92" t="str">
            <v>Moderado</v>
          </cell>
          <cell r="AE92">
            <v>0.24</v>
          </cell>
          <cell r="AG92">
            <v>0.44999999999999996</v>
          </cell>
        </row>
        <row r="94">
          <cell r="A94" t="str">
            <v>GF26</v>
          </cell>
          <cell r="G94" t="str">
            <v>Posibilidad de afectación reputacional y económical reflejada en hallazgos de los entes de control asi como el pago de intereses de mora, debido a  el pago inoportuno de las comisiones fiduciarias de acuerdo con los términos establecidos en el contrato fiduciario.</v>
          </cell>
          <cell r="J94" t="str">
            <v>Media</v>
          </cell>
          <cell r="L94" t="str">
            <v>Moderado</v>
          </cell>
          <cell r="AE94">
            <v>0.12959999999999999</v>
          </cell>
          <cell r="AG94">
            <v>0.6</v>
          </cell>
        </row>
        <row r="97">
          <cell r="A97" t="str">
            <v>GF27</v>
          </cell>
          <cell r="G97" t="str">
            <v xml:space="preserve">Posibilidad de afectación económica y reputacional reflejada en el 
detrimento patrimonial derivado de la perdida de competencia para recuperar los recursos, asi como por hallazgos de los entes de control fiscal, debido a que los pagos que se realicen en el desarrollo de los contratos fiduciarios no se encuentren deibidamente soportados. </v>
          </cell>
          <cell r="J97" t="str">
            <v>Alta</v>
          </cell>
          <cell r="L97" t="str">
            <v>Mayor</v>
          </cell>
          <cell r="AE97">
            <v>0.2016</v>
          </cell>
          <cell r="AG97">
            <v>0.8</v>
          </cell>
        </row>
        <row r="100">
          <cell r="A100" t="str">
            <v>GF28</v>
          </cell>
          <cell r="G100" t="str">
            <v>Posilbidad de afectación reputacional del Instituto reflejada en requerimientos por parte de la Secretaría de Hacienda del Distrito asi como hallazgos por parte de la Contraloría Distrital de Medellín, debido a que no se restituyan los rendimientos financieros de la totalidad de las cuentas de los negocios fiduciarios de manera oportuna y en cumplimiento de los lineamientos establecidos en los contratos matriz y la normatividad aplicable.</v>
          </cell>
          <cell r="J100" t="str">
            <v>Alta</v>
          </cell>
          <cell r="L100" t="str">
            <v>Moderado</v>
          </cell>
          <cell r="AE100">
            <v>0.28799999999999998</v>
          </cell>
          <cell r="AG100">
            <v>0.6</v>
          </cell>
        </row>
        <row r="103">
          <cell r="A103" t="str">
            <v>GF29</v>
          </cell>
          <cell r="G103" t="str">
            <v>Posilbidad de afectación reputacional reflejada en hallazgos por parte de los entes de control, debido a la existencia de  diferencias entre los saldos de cada cuenta fiduciaria y lo registrado en contablidad.</v>
          </cell>
          <cell r="J103" t="str">
            <v>Media</v>
          </cell>
          <cell r="L103" t="str">
            <v>Moderado</v>
          </cell>
          <cell r="AE103">
            <v>0.42</v>
          </cell>
          <cell r="AG103">
            <v>0.6</v>
          </cell>
        </row>
        <row r="105">
          <cell r="A105" t="str">
            <v>GF30</v>
          </cell>
          <cell r="G105" t="str">
            <v>Posilbidad de afectación reputacional por hallazgos por parte de los entes de control, debido a que existan diferencias entre la información financiera relacionada con ingresos y egresos de las subcuentas del contrato a liquidar con los documentos que la soportan, de manera que no permitan la liquidación del mismo.
Nota:los documentos soportes se refieren a: los movimientos de los extractos, soportes de pago, contrato inicial y modificaciones, e informe de supervisión</v>
          </cell>
          <cell r="J105" t="str">
            <v>Media</v>
          </cell>
          <cell r="L105" t="str">
            <v>Moderado</v>
          </cell>
          <cell r="AE105">
            <v>0.42</v>
          </cell>
          <cell r="AG105">
            <v>0.6</v>
          </cell>
        </row>
        <row r="107">
          <cell r="A107" t="str">
            <v>GF31</v>
          </cell>
          <cell r="G107" t="str">
            <v xml:space="preserve">Posibilidad de afectación reputacional del Instituto reflejada en PQRS por parte de acreedores y contratistas en razón de la demora en los pagos así como por hallazgos por de los entes de control, debido a se que realicen pagos utilizando recursos de patrimonios autónomos no asignados a un proyecto específico, afectando pagos de otros proyectos. </v>
          </cell>
          <cell r="J107" t="str">
            <v>Media</v>
          </cell>
          <cell r="L107" t="str">
            <v>Moderado</v>
          </cell>
          <cell r="AE107">
            <v>0.36</v>
          </cell>
          <cell r="AG107">
            <v>0.44999999999999996</v>
          </cell>
        </row>
      </sheetData>
    </sheetDataSet>
  </externalBook>
</externalLink>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1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177:G189"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3" displayName="Tabla13" ref="B177:C187" totalsRowShown="0" headerRowDxfId="571" dataDxfId="570">
  <autoFilter ref="B177:C187" xr:uid="{00000000-0009-0000-0100-000002000000}"/>
  <tableColumns count="2">
    <tableColumn id="1" xr3:uid="{00000000-0010-0000-0000-000001000000}" name="Criterios" dataDxfId="569"/>
    <tableColumn id="2" xr3:uid="{00000000-0010-0000-0000-000002000000}" name="Subcriterios" dataDxfId="56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showGridLines="0" zoomScale="60" zoomScaleNormal="60" zoomScalePageLayoutView="60" workbookViewId="0">
      <selection activeCell="G16" sqref="G16"/>
    </sheetView>
  </sheetViews>
  <sheetFormatPr baseColWidth="10" defaultColWidth="24.33203125" defaultRowHeight="15.6" x14ac:dyDescent="0.3"/>
  <cols>
    <col min="1" max="1" width="15.6640625" style="48" customWidth="1"/>
    <col min="2" max="2" width="22.44140625" style="48" customWidth="1"/>
    <col min="3" max="3" width="34.33203125" style="48" hidden="1" customWidth="1"/>
    <col min="4" max="4" width="24.109375" style="48" customWidth="1"/>
    <col min="5" max="5" width="20.44140625" style="48" customWidth="1"/>
    <col min="6" max="6" width="23.109375" style="48" customWidth="1"/>
    <col min="7" max="7" width="27.88671875" style="48" customWidth="1"/>
    <col min="8" max="8" width="27.88671875" style="48" hidden="1" customWidth="1"/>
    <col min="9" max="9" width="17.44140625" style="48" customWidth="1"/>
    <col min="10" max="10" width="20.6640625" style="48" customWidth="1"/>
    <col min="11" max="11" width="19.44140625" style="48" customWidth="1"/>
    <col min="12" max="12" width="19.33203125" style="48" customWidth="1"/>
    <col min="13" max="13" width="14.88671875" style="48" customWidth="1"/>
    <col min="14" max="14" width="19.44140625" style="48" customWidth="1"/>
    <col min="15" max="15" width="16.109375" style="48" customWidth="1"/>
    <col min="16" max="16" width="24.33203125" style="48"/>
    <col min="17" max="17" width="15.44140625" style="48" customWidth="1"/>
    <col min="18" max="18" width="17.33203125" style="48" customWidth="1"/>
    <col min="19" max="19" width="20.44140625" style="48" customWidth="1"/>
    <col min="20" max="20" width="21.44140625" style="48" customWidth="1"/>
    <col min="21" max="21" width="19.88671875" style="48" customWidth="1"/>
    <col min="22" max="16384" width="24.33203125" style="48"/>
  </cols>
  <sheetData>
    <row r="1" spans="1:13" s="49" customFormat="1" ht="20.100000000000001" customHeight="1" x14ac:dyDescent="0.3">
      <c r="A1" s="264"/>
      <c r="B1" s="267" t="s">
        <v>0</v>
      </c>
      <c r="C1" s="268"/>
      <c r="D1" s="268"/>
      <c r="E1" s="268"/>
      <c r="F1" s="268"/>
      <c r="G1" s="268"/>
      <c r="H1" s="268"/>
      <c r="I1" s="268"/>
      <c r="J1" s="268"/>
      <c r="K1" s="269"/>
      <c r="L1" s="276" t="s">
        <v>1</v>
      </c>
      <c r="M1" s="276"/>
    </row>
    <row r="2" spans="1:13" s="49" customFormat="1" ht="20.100000000000001" customHeight="1" x14ac:dyDescent="0.3">
      <c r="A2" s="265"/>
      <c r="B2" s="270"/>
      <c r="C2" s="271"/>
      <c r="D2" s="271"/>
      <c r="E2" s="271"/>
      <c r="F2" s="271"/>
      <c r="G2" s="271"/>
      <c r="H2" s="271"/>
      <c r="I2" s="271"/>
      <c r="J2" s="271"/>
      <c r="K2" s="272"/>
      <c r="L2" s="276" t="s">
        <v>2</v>
      </c>
      <c r="M2" s="276"/>
    </row>
    <row r="3" spans="1:13" s="49" customFormat="1" ht="20.100000000000001" customHeight="1" x14ac:dyDescent="0.3">
      <c r="A3" s="265"/>
      <c r="B3" s="270"/>
      <c r="C3" s="271"/>
      <c r="D3" s="271"/>
      <c r="E3" s="271"/>
      <c r="F3" s="271"/>
      <c r="G3" s="271"/>
      <c r="H3" s="271"/>
      <c r="I3" s="271"/>
      <c r="J3" s="271"/>
      <c r="K3" s="272"/>
      <c r="L3" s="276" t="s">
        <v>3</v>
      </c>
      <c r="M3" s="276"/>
    </row>
    <row r="4" spans="1:13" s="49" customFormat="1" ht="20.100000000000001" customHeight="1" x14ac:dyDescent="0.3">
      <c r="A4" s="266"/>
      <c r="B4" s="273"/>
      <c r="C4" s="274"/>
      <c r="D4" s="274"/>
      <c r="E4" s="274"/>
      <c r="F4" s="274"/>
      <c r="G4" s="274"/>
      <c r="H4" s="274"/>
      <c r="I4" s="274"/>
      <c r="J4" s="274"/>
      <c r="K4" s="275"/>
      <c r="L4" s="276" t="s">
        <v>4</v>
      </c>
      <c r="M4" s="276"/>
    </row>
    <row r="5" spans="1:13" ht="20.100000000000001" customHeight="1" x14ac:dyDescent="0.3"/>
    <row r="6" spans="1:13" ht="25.2" x14ac:dyDescent="0.3">
      <c r="A6" s="260" t="s">
        <v>5</v>
      </c>
      <c r="B6" s="260"/>
      <c r="C6" s="260"/>
      <c r="D6" s="260"/>
      <c r="E6" s="260"/>
      <c r="F6" s="260"/>
      <c r="G6" s="260"/>
      <c r="H6" s="260"/>
      <c r="I6" s="260"/>
      <c r="J6" s="260"/>
      <c r="K6" s="260"/>
      <c r="L6" s="260"/>
      <c r="M6" s="260"/>
    </row>
    <row r="9" spans="1:13" ht="24.75" customHeight="1" x14ac:dyDescent="0.3">
      <c r="A9" s="261" t="s">
        <v>6</v>
      </c>
      <c r="B9" s="261"/>
      <c r="C9" s="50"/>
      <c r="D9" s="262" t="s">
        <v>7</v>
      </c>
      <c r="E9" s="262"/>
      <c r="F9" s="262"/>
      <c r="G9" s="262"/>
      <c r="H9" s="262"/>
      <c r="I9" s="262"/>
      <c r="J9" s="262"/>
      <c r="K9" s="262"/>
      <c r="L9" s="262"/>
      <c r="M9" s="262"/>
    </row>
    <row r="10" spans="1:13" ht="24.75" customHeight="1" x14ac:dyDescent="0.3">
      <c r="A10" s="261" t="s">
        <v>8</v>
      </c>
      <c r="B10" s="261"/>
      <c r="C10" s="263"/>
      <c r="D10" s="263"/>
      <c r="E10" s="262" t="s">
        <v>9</v>
      </c>
      <c r="F10" s="262"/>
      <c r="G10" s="262"/>
      <c r="H10" s="262"/>
      <c r="I10" s="262"/>
      <c r="J10" s="262"/>
      <c r="K10" s="262"/>
      <c r="L10" s="262"/>
      <c r="M10" s="262"/>
    </row>
    <row r="11" spans="1:13" ht="24.75" customHeight="1" x14ac:dyDescent="0.3">
      <c r="A11" s="261" t="s">
        <v>10</v>
      </c>
      <c r="B11" s="261"/>
      <c r="C11" s="261"/>
      <c r="D11" s="261"/>
      <c r="E11" s="263"/>
      <c r="F11" s="262" t="s">
        <v>11</v>
      </c>
      <c r="G11" s="262"/>
      <c r="H11" s="262"/>
      <c r="I11" s="262"/>
      <c r="J11" s="262"/>
      <c r="K11" s="262"/>
      <c r="L11" s="262"/>
      <c r="M11" s="262"/>
    </row>
    <row r="12" spans="1:13" ht="22.65" customHeight="1" x14ac:dyDescent="0.3"/>
    <row r="13" spans="1:13" ht="20.25" customHeight="1" x14ac:dyDescent="0.3"/>
    <row r="14" spans="1:13" ht="27.75" customHeight="1" x14ac:dyDescent="0.3">
      <c r="A14" s="277" t="s">
        <v>12</v>
      </c>
      <c r="B14" s="277"/>
      <c r="C14" s="51"/>
      <c r="D14" s="278" t="s">
        <v>13</v>
      </c>
      <c r="E14" s="278"/>
      <c r="F14" s="278"/>
      <c r="G14" s="278" t="s">
        <v>14</v>
      </c>
      <c r="H14" s="278"/>
      <c r="I14" s="278"/>
      <c r="J14" s="278"/>
      <c r="K14" s="278"/>
      <c r="L14" s="278"/>
      <c r="M14" s="278"/>
    </row>
    <row r="15" spans="1:13" ht="37.5" customHeight="1" x14ac:dyDescent="0.3">
      <c r="A15" s="277"/>
      <c r="B15" s="277"/>
      <c r="C15" s="51"/>
      <c r="D15" s="278"/>
      <c r="E15" s="278"/>
      <c r="F15" s="278"/>
      <c r="G15" s="52" t="s">
        <v>15</v>
      </c>
      <c r="H15" s="52"/>
      <c r="I15" s="278" t="s">
        <v>16</v>
      </c>
      <c r="J15" s="278"/>
      <c r="K15" s="278"/>
      <c r="L15" s="278"/>
      <c r="M15" s="278"/>
    </row>
    <row r="16" spans="1:13" ht="53.4" customHeight="1" x14ac:dyDescent="0.3">
      <c r="A16" s="248" t="s">
        <v>17</v>
      </c>
      <c r="B16" s="250"/>
      <c r="C16" s="54" t="s">
        <v>17</v>
      </c>
      <c r="D16" s="248" t="s">
        <v>18</v>
      </c>
      <c r="E16" s="249"/>
      <c r="F16" s="250"/>
      <c r="G16" s="55" t="s">
        <v>19</v>
      </c>
      <c r="H16" s="56" t="s">
        <v>20</v>
      </c>
      <c r="I16" s="257" t="s">
        <v>21</v>
      </c>
      <c r="J16" s="258"/>
      <c r="K16" s="258"/>
      <c r="L16" s="258"/>
      <c r="M16" s="259"/>
    </row>
    <row r="17" spans="1:13" ht="53.4" customHeight="1" x14ac:dyDescent="0.3">
      <c r="A17" s="248" t="s">
        <v>22</v>
      </c>
      <c r="B17" s="250"/>
      <c r="C17" s="54"/>
      <c r="D17" s="248" t="s">
        <v>23</v>
      </c>
      <c r="E17" s="249"/>
      <c r="F17" s="250"/>
      <c r="G17" s="55" t="s">
        <v>19</v>
      </c>
      <c r="H17" s="56"/>
      <c r="I17" s="257" t="s">
        <v>24</v>
      </c>
      <c r="J17" s="258"/>
      <c r="K17" s="258"/>
      <c r="L17" s="258"/>
      <c r="M17" s="259"/>
    </row>
    <row r="18" spans="1:13" ht="53.4" customHeight="1" x14ac:dyDescent="0.3">
      <c r="A18" s="248" t="s">
        <v>17</v>
      </c>
      <c r="B18" s="250"/>
      <c r="C18" s="54"/>
      <c r="D18" s="248" t="s">
        <v>25</v>
      </c>
      <c r="E18" s="249"/>
      <c r="F18" s="250"/>
      <c r="G18" s="55" t="s">
        <v>19</v>
      </c>
      <c r="H18" s="56"/>
      <c r="I18" s="257" t="s">
        <v>26</v>
      </c>
      <c r="J18" s="258"/>
      <c r="K18" s="258"/>
      <c r="L18" s="258"/>
      <c r="M18" s="259"/>
    </row>
    <row r="19" spans="1:13" ht="53.4" customHeight="1" x14ac:dyDescent="0.3">
      <c r="A19" s="248" t="s">
        <v>27</v>
      </c>
      <c r="B19" s="250"/>
      <c r="C19" s="54" t="s">
        <v>22</v>
      </c>
      <c r="D19" s="248" t="s">
        <v>28</v>
      </c>
      <c r="E19" s="249"/>
      <c r="F19" s="250"/>
      <c r="G19" s="55" t="s">
        <v>19</v>
      </c>
      <c r="H19" s="56"/>
      <c r="I19" s="257" t="s">
        <v>29</v>
      </c>
      <c r="J19" s="258"/>
      <c r="K19" s="258"/>
      <c r="L19" s="258"/>
      <c r="M19" s="259"/>
    </row>
    <row r="20" spans="1:13" ht="53.4" customHeight="1" x14ac:dyDescent="0.3">
      <c r="A20" s="248" t="s">
        <v>17</v>
      </c>
      <c r="B20" s="250"/>
      <c r="C20" s="54"/>
      <c r="D20" s="248" t="s">
        <v>30</v>
      </c>
      <c r="E20" s="249"/>
      <c r="F20" s="250"/>
      <c r="G20" s="55" t="s">
        <v>19</v>
      </c>
      <c r="H20" s="56"/>
      <c r="I20" s="254" t="s">
        <v>31</v>
      </c>
      <c r="J20" s="255"/>
      <c r="K20" s="255"/>
      <c r="L20" s="255"/>
      <c r="M20" s="256"/>
    </row>
    <row r="21" spans="1:13" ht="53.4" customHeight="1" x14ac:dyDescent="0.3">
      <c r="A21" s="248" t="s">
        <v>27</v>
      </c>
      <c r="B21" s="250"/>
      <c r="C21" s="54"/>
      <c r="D21" s="248" t="s">
        <v>32</v>
      </c>
      <c r="E21" s="249"/>
      <c r="F21" s="250"/>
      <c r="G21" s="55" t="s">
        <v>20</v>
      </c>
      <c r="H21" s="56"/>
      <c r="I21" s="254" t="s">
        <v>33</v>
      </c>
      <c r="J21" s="255"/>
      <c r="K21" s="255"/>
      <c r="L21" s="255"/>
      <c r="M21" s="256"/>
    </row>
    <row r="22" spans="1:13" ht="53.4" customHeight="1" x14ac:dyDescent="0.3">
      <c r="A22" s="246" t="s">
        <v>17</v>
      </c>
      <c r="B22" s="247"/>
      <c r="C22" s="54"/>
      <c r="D22" s="248" t="s">
        <v>34</v>
      </c>
      <c r="E22" s="249"/>
      <c r="F22" s="250"/>
      <c r="G22" s="55" t="s">
        <v>19</v>
      </c>
      <c r="H22" s="56"/>
      <c r="I22" s="251" t="s">
        <v>35</v>
      </c>
      <c r="J22" s="252"/>
      <c r="K22" s="252"/>
      <c r="L22" s="252"/>
      <c r="M22" s="253"/>
    </row>
    <row r="23" spans="1:13" ht="53.4" customHeight="1" x14ac:dyDescent="0.3">
      <c r="A23" s="246" t="s">
        <v>17</v>
      </c>
      <c r="B23" s="247"/>
      <c r="C23" s="54"/>
      <c r="D23" s="248" t="s">
        <v>36</v>
      </c>
      <c r="E23" s="249"/>
      <c r="F23" s="250"/>
      <c r="G23" s="55" t="s">
        <v>19</v>
      </c>
      <c r="H23" s="56"/>
      <c r="I23" s="251" t="s">
        <v>37</v>
      </c>
      <c r="J23" s="252"/>
      <c r="K23" s="252"/>
      <c r="L23" s="252"/>
      <c r="M23" s="253"/>
    </row>
    <row r="24" spans="1:13" ht="53.4" customHeight="1" x14ac:dyDescent="0.3">
      <c r="A24" s="246" t="s">
        <v>17</v>
      </c>
      <c r="B24" s="247"/>
      <c r="C24" s="54"/>
      <c r="D24" s="248" t="s">
        <v>38</v>
      </c>
      <c r="E24" s="249"/>
      <c r="F24" s="250"/>
      <c r="G24" s="55" t="s">
        <v>20</v>
      </c>
      <c r="H24" s="56"/>
      <c r="I24" s="251" t="s">
        <v>39</v>
      </c>
      <c r="J24" s="252"/>
      <c r="K24" s="252"/>
      <c r="L24" s="252"/>
      <c r="M24" s="253"/>
    </row>
    <row r="25" spans="1:13" ht="53.4" customHeight="1" x14ac:dyDescent="0.3">
      <c r="A25" s="246" t="s">
        <v>17</v>
      </c>
      <c r="B25" s="247"/>
      <c r="C25" s="54"/>
      <c r="D25" s="248" t="s">
        <v>40</v>
      </c>
      <c r="E25" s="249"/>
      <c r="F25" s="250"/>
      <c r="G25" s="55" t="s">
        <v>19</v>
      </c>
      <c r="H25" s="56"/>
      <c r="I25" s="251" t="s">
        <v>41</v>
      </c>
      <c r="J25" s="252"/>
      <c r="K25" s="252"/>
      <c r="L25" s="252"/>
      <c r="M25" s="253"/>
    </row>
    <row r="26" spans="1:13" ht="53.4" customHeight="1" x14ac:dyDescent="0.3">
      <c r="A26" s="246" t="s">
        <v>27</v>
      </c>
      <c r="B26" s="247"/>
      <c r="C26" s="54"/>
      <c r="D26" s="248" t="s">
        <v>42</v>
      </c>
      <c r="E26" s="249"/>
      <c r="F26" s="250"/>
      <c r="G26" s="55" t="s">
        <v>19</v>
      </c>
      <c r="H26" s="56"/>
      <c r="I26" s="251" t="s">
        <v>43</v>
      </c>
      <c r="J26" s="252"/>
      <c r="K26" s="252"/>
      <c r="L26" s="252"/>
      <c r="M26" s="253"/>
    </row>
    <row r="27" spans="1:13" ht="53.4" customHeight="1" x14ac:dyDescent="0.3">
      <c r="A27" s="246" t="s">
        <v>27</v>
      </c>
      <c r="B27" s="247"/>
      <c r="C27" s="54"/>
      <c r="D27" s="248" t="s">
        <v>44</v>
      </c>
      <c r="E27" s="249"/>
      <c r="F27" s="250"/>
      <c r="G27" s="55" t="s">
        <v>19</v>
      </c>
      <c r="H27" s="56"/>
      <c r="I27" s="251" t="s">
        <v>45</v>
      </c>
      <c r="J27" s="252"/>
      <c r="K27" s="252"/>
      <c r="L27" s="252"/>
      <c r="M27" s="253"/>
    </row>
    <row r="28" spans="1:13" ht="53.4" customHeight="1" x14ac:dyDescent="0.3">
      <c r="A28" s="246" t="s">
        <v>27</v>
      </c>
      <c r="B28" s="247"/>
      <c r="C28" s="54"/>
      <c r="D28" s="248" t="s">
        <v>46</v>
      </c>
      <c r="E28" s="249"/>
      <c r="F28" s="250"/>
      <c r="G28" s="55" t="s">
        <v>19</v>
      </c>
      <c r="H28" s="56"/>
      <c r="I28" s="251" t="s">
        <v>47</v>
      </c>
      <c r="J28" s="252"/>
      <c r="K28" s="252"/>
      <c r="L28" s="252"/>
      <c r="M28" s="253"/>
    </row>
    <row r="29" spans="1:13" ht="53.4" customHeight="1" x14ac:dyDescent="0.3">
      <c r="A29" s="246" t="s">
        <v>27</v>
      </c>
      <c r="B29" s="247"/>
      <c r="C29" s="54"/>
      <c r="D29" s="248" t="s">
        <v>48</v>
      </c>
      <c r="E29" s="249"/>
      <c r="F29" s="250"/>
      <c r="G29" s="55" t="s">
        <v>19</v>
      </c>
      <c r="H29" s="56"/>
      <c r="I29" s="251" t="s">
        <v>49</v>
      </c>
      <c r="J29" s="252"/>
      <c r="K29" s="252"/>
      <c r="L29" s="252"/>
      <c r="M29" s="253"/>
    </row>
    <row r="30" spans="1:13" ht="53.4" customHeight="1" x14ac:dyDescent="0.3">
      <c r="A30" s="246" t="s">
        <v>27</v>
      </c>
      <c r="B30" s="247"/>
      <c r="C30" s="54"/>
      <c r="D30" s="248" t="s">
        <v>50</v>
      </c>
      <c r="E30" s="249"/>
      <c r="F30" s="250"/>
      <c r="G30" s="55" t="s">
        <v>19</v>
      </c>
      <c r="H30" s="56"/>
      <c r="I30" s="251" t="s">
        <v>51</v>
      </c>
      <c r="J30" s="252"/>
      <c r="K30" s="252"/>
      <c r="L30" s="252"/>
      <c r="M30" s="253"/>
    </row>
    <row r="31" spans="1:13" ht="53.4" customHeight="1" x14ac:dyDescent="0.3">
      <c r="A31" s="246" t="s">
        <v>27</v>
      </c>
      <c r="B31" s="247"/>
      <c r="C31" s="54"/>
      <c r="D31" s="248" t="s">
        <v>52</v>
      </c>
      <c r="E31" s="249"/>
      <c r="F31" s="250"/>
      <c r="G31" s="55" t="s">
        <v>19</v>
      </c>
      <c r="H31" s="56"/>
      <c r="I31" s="251" t="s">
        <v>53</v>
      </c>
      <c r="J31" s="252"/>
      <c r="K31" s="252"/>
      <c r="L31" s="252"/>
      <c r="M31" s="253"/>
    </row>
    <row r="32" spans="1:13" ht="53.4" customHeight="1" x14ac:dyDescent="0.3">
      <c r="A32" s="246" t="s">
        <v>27</v>
      </c>
      <c r="B32" s="247"/>
      <c r="C32" s="54"/>
      <c r="D32" s="248" t="s">
        <v>54</v>
      </c>
      <c r="E32" s="249"/>
      <c r="F32" s="250"/>
      <c r="G32" s="55" t="s">
        <v>19</v>
      </c>
      <c r="H32" s="56"/>
      <c r="I32" s="251" t="s">
        <v>55</v>
      </c>
      <c r="J32" s="252"/>
      <c r="K32" s="252"/>
      <c r="L32" s="252"/>
      <c r="M32" s="253"/>
    </row>
    <row r="33" spans="1:13" ht="53.4" customHeight="1" x14ac:dyDescent="0.3">
      <c r="A33" s="246" t="s">
        <v>27</v>
      </c>
      <c r="B33" s="247"/>
      <c r="C33" s="57"/>
      <c r="D33" s="248" t="s">
        <v>56</v>
      </c>
      <c r="E33" s="249"/>
      <c r="F33" s="250"/>
      <c r="G33" s="55" t="s">
        <v>19</v>
      </c>
      <c r="H33" s="57"/>
      <c r="I33" s="251" t="s">
        <v>57</v>
      </c>
      <c r="J33" s="252"/>
      <c r="K33" s="252"/>
      <c r="L33" s="252"/>
      <c r="M33" s="253"/>
    </row>
    <row r="34" spans="1:13" ht="53.4" customHeight="1" x14ac:dyDescent="0.3">
      <c r="A34" s="246" t="s">
        <v>27</v>
      </c>
      <c r="B34" s="247"/>
      <c r="C34" s="57"/>
      <c r="D34" s="248" t="s">
        <v>58</v>
      </c>
      <c r="E34" s="249"/>
      <c r="F34" s="250"/>
      <c r="G34" s="55" t="s">
        <v>20</v>
      </c>
      <c r="H34" s="57"/>
      <c r="I34" s="251" t="s">
        <v>59</v>
      </c>
      <c r="J34" s="252"/>
      <c r="K34" s="252"/>
      <c r="L34" s="252"/>
      <c r="M34" s="253"/>
    </row>
    <row r="35" spans="1:13" ht="53.4" customHeight="1" x14ac:dyDescent="0.3">
      <c r="A35" s="246" t="s">
        <v>27</v>
      </c>
      <c r="B35" s="247"/>
      <c r="C35" s="57"/>
      <c r="D35" s="248" t="s">
        <v>60</v>
      </c>
      <c r="E35" s="249"/>
      <c r="F35" s="250"/>
      <c r="G35" s="55" t="s">
        <v>19</v>
      </c>
      <c r="H35" s="57"/>
      <c r="I35" s="251" t="s">
        <v>61</v>
      </c>
      <c r="J35" s="252"/>
      <c r="K35" s="252"/>
      <c r="L35" s="252"/>
      <c r="M35" s="253"/>
    </row>
    <row r="36" spans="1:13" ht="53.4" customHeight="1" x14ac:dyDescent="0.3">
      <c r="A36" s="246" t="s">
        <v>27</v>
      </c>
      <c r="B36" s="247"/>
      <c r="C36" s="57"/>
      <c r="D36" s="248" t="s">
        <v>62</v>
      </c>
      <c r="E36" s="249"/>
      <c r="F36" s="250"/>
      <c r="G36" s="55" t="s">
        <v>19</v>
      </c>
      <c r="H36" s="57"/>
      <c r="I36" s="251" t="s">
        <v>63</v>
      </c>
      <c r="J36" s="252"/>
      <c r="K36" s="252"/>
      <c r="L36" s="252"/>
      <c r="M36" s="253"/>
    </row>
    <row r="37" spans="1:13" ht="53.4" customHeight="1" x14ac:dyDescent="0.3">
      <c r="A37" s="246" t="s">
        <v>17</v>
      </c>
      <c r="B37" s="247"/>
      <c r="C37" s="57"/>
      <c r="D37" s="248" t="s">
        <v>64</v>
      </c>
      <c r="E37" s="249"/>
      <c r="F37" s="250"/>
      <c r="G37" s="55" t="s">
        <v>19</v>
      </c>
      <c r="H37" s="57"/>
      <c r="I37" s="251" t="s">
        <v>65</v>
      </c>
      <c r="J37" s="252"/>
      <c r="K37" s="252"/>
      <c r="L37" s="252"/>
      <c r="M37" s="253"/>
    </row>
    <row r="38" spans="1:13" ht="24.9" customHeight="1" x14ac:dyDescent="0.3">
      <c r="A38" s="243"/>
      <c r="B38" s="244"/>
      <c r="D38" s="243"/>
      <c r="E38" s="245"/>
      <c r="F38" s="244"/>
      <c r="G38" s="53"/>
      <c r="I38" s="243"/>
      <c r="J38" s="245"/>
      <c r="K38" s="245"/>
      <c r="L38" s="245"/>
      <c r="M38" s="244"/>
    </row>
    <row r="39" spans="1:13" ht="24.9" customHeight="1" x14ac:dyDescent="0.3">
      <c r="A39" s="243"/>
      <c r="B39" s="244"/>
      <c r="D39" s="243"/>
      <c r="E39" s="245"/>
      <c r="F39" s="244"/>
      <c r="G39" s="53"/>
      <c r="I39" s="243"/>
      <c r="J39" s="245"/>
      <c r="K39" s="245"/>
      <c r="L39" s="245"/>
      <c r="M39" s="244"/>
    </row>
    <row r="40" spans="1:13" ht="24.9" customHeight="1" x14ac:dyDescent="0.3">
      <c r="A40" s="243"/>
      <c r="B40" s="244"/>
      <c r="D40" s="243"/>
      <c r="E40" s="245"/>
      <c r="F40" s="244"/>
      <c r="G40" s="53"/>
      <c r="I40" s="243"/>
      <c r="J40" s="245"/>
      <c r="K40" s="245"/>
      <c r="L40" s="245"/>
      <c r="M40" s="244"/>
    </row>
    <row r="41" spans="1:13" ht="24.9" customHeight="1" x14ac:dyDescent="0.3">
      <c r="A41" s="243"/>
      <c r="B41" s="244"/>
      <c r="D41" s="243"/>
      <c r="E41" s="245"/>
      <c r="F41" s="244"/>
      <c r="G41" s="53"/>
      <c r="I41" s="243"/>
      <c r="J41" s="245"/>
      <c r="K41" s="245"/>
      <c r="L41" s="245"/>
      <c r="M41" s="244"/>
    </row>
    <row r="42" spans="1:13" ht="24.9" customHeight="1" x14ac:dyDescent="0.3">
      <c r="A42" s="243"/>
      <c r="B42" s="244"/>
      <c r="D42" s="243"/>
      <c r="E42" s="245"/>
      <c r="F42" s="244"/>
      <c r="G42" s="53"/>
      <c r="I42" s="243"/>
      <c r="J42" s="245"/>
      <c r="K42" s="245"/>
      <c r="L42" s="245"/>
      <c r="M42" s="244"/>
    </row>
    <row r="43" spans="1:13" ht="24.9" customHeight="1" x14ac:dyDescent="0.3">
      <c r="A43" s="243"/>
      <c r="B43" s="244"/>
      <c r="D43" s="243"/>
      <c r="E43" s="245"/>
      <c r="F43" s="244"/>
      <c r="G43" s="53"/>
      <c r="I43" s="243"/>
      <c r="J43" s="245"/>
      <c r="K43" s="245"/>
      <c r="L43" s="245"/>
      <c r="M43" s="244"/>
    </row>
    <row r="44" spans="1:13" ht="24.9" customHeight="1" x14ac:dyDescent="0.3">
      <c r="A44" s="243"/>
      <c r="B44" s="244"/>
      <c r="D44" s="243"/>
      <c r="E44" s="245"/>
      <c r="F44" s="244"/>
      <c r="G44" s="53"/>
      <c r="I44" s="243"/>
      <c r="J44" s="245"/>
      <c r="K44" s="245"/>
      <c r="L44" s="245"/>
      <c r="M44" s="244"/>
    </row>
    <row r="45" spans="1:13" ht="24.9" customHeight="1" x14ac:dyDescent="0.3"/>
  </sheetData>
  <mergeCells count="104">
    <mergeCell ref="A1:A4"/>
    <mergeCell ref="B1:K4"/>
    <mergeCell ref="L1:M1"/>
    <mergeCell ref="L2:M2"/>
    <mergeCell ref="L3:M3"/>
    <mergeCell ref="L4:M4"/>
    <mergeCell ref="A14:B15"/>
    <mergeCell ref="D14:F15"/>
    <mergeCell ref="G14:M14"/>
    <mergeCell ref="I15:M15"/>
    <mergeCell ref="A16:B16"/>
    <mergeCell ref="D16:F16"/>
    <mergeCell ref="I16:M16"/>
    <mergeCell ref="A6:M6"/>
    <mergeCell ref="A9:B9"/>
    <mergeCell ref="D9:M9"/>
    <mergeCell ref="A10:D10"/>
    <mergeCell ref="E10:M10"/>
    <mergeCell ref="A11:E11"/>
    <mergeCell ref="F11:M11"/>
    <mergeCell ref="A19:B19"/>
    <mergeCell ref="D19:F19"/>
    <mergeCell ref="I19:M19"/>
    <mergeCell ref="A20:B20"/>
    <mergeCell ref="D20:F20"/>
    <mergeCell ref="I20:M20"/>
    <mergeCell ref="A17:B17"/>
    <mergeCell ref="D17:F17"/>
    <mergeCell ref="I17:M17"/>
    <mergeCell ref="A18:B18"/>
    <mergeCell ref="D18:F18"/>
    <mergeCell ref="I18:M18"/>
    <mergeCell ref="A23:B23"/>
    <mergeCell ref="D23:F23"/>
    <mergeCell ref="I23:M23"/>
    <mergeCell ref="A24:B24"/>
    <mergeCell ref="D24:F24"/>
    <mergeCell ref="I24:M24"/>
    <mergeCell ref="A21:B21"/>
    <mergeCell ref="D21:F21"/>
    <mergeCell ref="I21:M21"/>
    <mergeCell ref="A22:B22"/>
    <mergeCell ref="D22:F22"/>
    <mergeCell ref="I22:M22"/>
    <mergeCell ref="A27:B27"/>
    <mergeCell ref="D27:F27"/>
    <mergeCell ref="I27:M27"/>
    <mergeCell ref="A28:B28"/>
    <mergeCell ref="D28:F28"/>
    <mergeCell ref="I28:M28"/>
    <mergeCell ref="A25:B25"/>
    <mergeCell ref="D25:F25"/>
    <mergeCell ref="I25:M25"/>
    <mergeCell ref="A26:B26"/>
    <mergeCell ref="D26:F26"/>
    <mergeCell ref="I26:M26"/>
    <mergeCell ref="A31:B31"/>
    <mergeCell ref="D31:F31"/>
    <mergeCell ref="I31:M31"/>
    <mergeCell ref="A32:B32"/>
    <mergeCell ref="D32:F32"/>
    <mergeCell ref="I32:M32"/>
    <mergeCell ref="A29:B29"/>
    <mergeCell ref="D29:F29"/>
    <mergeCell ref="I29:M29"/>
    <mergeCell ref="A30:B30"/>
    <mergeCell ref="D30:F30"/>
    <mergeCell ref="I30:M30"/>
    <mergeCell ref="A35:B35"/>
    <mergeCell ref="D35:F35"/>
    <mergeCell ref="I35:M35"/>
    <mergeCell ref="A36:B36"/>
    <mergeCell ref="D36:F36"/>
    <mergeCell ref="I36:M36"/>
    <mergeCell ref="A33:B33"/>
    <mergeCell ref="D33:F33"/>
    <mergeCell ref="I33:M33"/>
    <mergeCell ref="A34:B34"/>
    <mergeCell ref="D34:F34"/>
    <mergeCell ref="I34:M34"/>
    <mergeCell ref="A39:B39"/>
    <mergeCell ref="D39:F39"/>
    <mergeCell ref="I39:M39"/>
    <mergeCell ref="A40:B40"/>
    <mergeCell ref="D40:F40"/>
    <mergeCell ref="I40:M40"/>
    <mergeCell ref="A37:B37"/>
    <mergeCell ref="D37:F37"/>
    <mergeCell ref="I37:M37"/>
    <mergeCell ref="A38:B38"/>
    <mergeCell ref="D38:F38"/>
    <mergeCell ref="I38:M38"/>
    <mergeCell ref="A43:B43"/>
    <mergeCell ref="D43:F43"/>
    <mergeCell ref="I43:M43"/>
    <mergeCell ref="A44:B44"/>
    <mergeCell ref="D44:F44"/>
    <mergeCell ref="I44:M44"/>
    <mergeCell ref="A41:B41"/>
    <mergeCell ref="D41:F41"/>
    <mergeCell ref="I41:M41"/>
    <mergeCell ref="A42:B42"/>
    <mergeCell ref="D42:F42"/>
    <mergeCell ref="I42:M42"/>
  </mergeCells>
  <dataValidations count="3">
    <dataValidation type="list" allowBlank="1" showInputMessage="1" showErrorMessage="1" sqref="A38:B44" xr:uid="{00000000-0002-0000-0000-000000000000}">
      <formula1>$C$16:$C$18</formula1>
    </dataValidation>
    <dataValidation type="list" allowBlank="1" showInputMessage="1" showErrorMessage="1" sqref="G16:G32" xr:uid="{00000000-0002-0000-0000-000001000000}">
      <formula1>$H$16:$H$18</formula1>
    </dataValidation>
    <dataValidation type="list" allowBlank="1" showInputMessage="1" showErrorMessage="1" sqref="A16:B37" xr:uid="{00000000-0002-0000-0000-000002000000}">
      <formula1>$C$16:$C$19</formula1>
    </dataValidation>
  </dataValidations>
  <pageMargins left="0.7" right="0.7" top="0.75" bottom="0.75" header="0.3" footer="0.3"/>
  <pageSetup orientation="portrait"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'Opciones Tratamiento'!$B$22:$B$34</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2B509-6125-4B7B-8B5C-942C481CC581}">
  <sheetPr>
    <tabColor rgb="FF002060"/>
  </sheetPr>
  <dimension ref="A1:BH155"/>
  <sheetViews>
    <sheetView showGridLines="0" tabSelected="1" zoomScale="90" zoomScaleNormal="90" workbookViewId="0">
      <selection activeCell="AM107" sqref="AM107:AM109"/>
    </sheetView>
  </sheetViews>
  <sheetFormatPr baseColWidth="10" defaultColWidth="10.88671875" defaultRowHeight="13.8" x14ac:dyDescent="0.25"/>
  <cols>
    <col min="1" max="1" width="4" style="88" bestFit="1" customWidth="1"/>
    <col min="2" max="2" width="24.33203125" style="88" hidden="1" customWidth="1"/>
    <col min="3" max="3" width="29.44140625" style="88" customWidth="1"/>
    <col min="4" max="4" width="31.6640625" style="88" customWidth="1"/>
    <col min="5" max="5" width="32.6640625" style="88" customWidth="1"/>
    <col min="6" max="6" width="30.88671875" style="88" customWidth="1"/>
    <col min="7" max="7" width="38" style="61" customWidth="1"/>
    <col min="8" max="8" width="78" style="61" customWidth="1"/>
    <col min="9" max="9" width="20.44140625" style="89" customWidth="1"/>
    <col min="10" max="10" width="10.44140625" style="61" customWidth="1"/>
    <col min="11" max="11" width="9.109375" style="61" customWidth="1"/>
    <col min="12" max="12" width="10.44140625" style="61" customWidth="1"/>
    <col min="13" max="13" width="9.44140625" style="61" customWidth="1"/>
    <col min="14" max="14" width="10.44140625" style="61" customWidth="1"/>
    <col min="15" max="15" width="5.88671875" style="61" customWidth="1"/>
    <col min="16" max="16" width="81.44140625" style="61" customWidth="1"/>
    <col min="17" max="17" width="15.109375" style="61" hidden="1" customWidth="1"/>
    <col min="18" max="18" width="6.88671875" style="61" hidden="1" customWidth="1"/>
    <col min="19" max="19" width="5" style="61" hidden="1" customWidth="1"/>
    <col min="20" max="20" width="5.44140625" style="61" hidden="1" customWidth="1"/>
    <col min="21" max="21" width="7.109375" style="61" hidden="1" customWidth="1"/>
    <col min="22" max="22" width="6.6640625" style="61" hidden="1" customWidth="1"/>
    <col min="23" max="23" width="7.44140625" style="61" hidden="1" customWidth="1"/>
    <col min="24" max="24" width="48.33203125" style="61" customWidth="1"/>
    <col min="25" max="25" width="11.33203125" style="61" customWidth="1"/>
    <col min="26" max="26" width="8.6640625" style="61" customWidth="1"/>
    <col min="27" max="27" width="10.44140625" style="61" customWidth="1"/>
    <col min="28" max="28" width="9.33203125" style="61" customWidth="1"/>
    <col min="29" max="29" width="9.109375" style="61" customWidth="1"/>
    <col min="30" max="32" width="10.33203125" style="61" customWidth="1"/>
    <col min="33" max="33" width="13.88671875" style="61" customWidth="1"/>
    <col min="34" max="34" width="10.33203125" style="61" customWidth="1"/>
    <col min="35" max="35" width="13.109375" style="61" customWidth="1"/>
    <col min="36" max="36" width="37.109375" style="61" customWidth="1"/>
    <col min="37" max="37" width="81" style="61" customWidth="1"/>
    <col min="38" max="38" width="76.21875" style="61" customWidth="1"/>
    <col min="39" max="39" width="104.6640625" style="61" customWidth="1"/>
    <col min="40" max="40" width="107.88671875" style="61" customWidth="1"/>
    <col min="41" max="41" width="104.6640625" style="61" hidden="1" customWidth="1"/>
    <col min="42" max="42" width="107.88671875" style="61" hidden="1" customWidth="1"/>
    <col min="43" max="43" width="117" style="61" hidden="1" customWidth="1"/>
    <col min="44" max="44" width="107.88671875" style="61" hidden="1" customWidth="1"/>
    <col min="45" max="16384" width="10.88671875" style="61"/>
  </cols>
  <sheetData>
    <row r="1" spans="1:49" ht="16.5" customHeight="1" x14ac:dyDescent="0.25">
      <c r="A1" s="279"/>
      <c r="B1" s="279"/>
      <c r="C1" s="279"/>
      <c r="D1" s="280" t="s">
        <v>0</v>
      </c>
      <c r="E1" s="281"/>
      <c r="F1" s="281"/>
      <c r="G1" s="281"/>
      <c r="H1" s="281"/>
      <c r="I1" s="281"/>
      <c r="J1" s="281"/>
      <c r="K1" s="281"/>
      <c r="L1" s="281"/>
      <c r="M1" s="281"/>
      <c r="N1" s="281"/>
      <c r="O1" s="281"/>
      <c r="P1" s="281"/>
      <c r="Q1" s="281"/>
      <c r="R1" s="281"/>
      <c r="S1" s="281"/>
      <c r="T1" s="281"/>
      <c r="U1" s="281"/>
      <c r="V1" s="281"/>
      <c r="W1" s="281"/>
      <c r="X1" s="281"/>
      <c r="Y1" s="281"/>
      <c r="Z1" s="281"/>
      <c r="AA1" s="281"/>
      <c r="AB1" s="281"/>
      <c r="AC1" s="281"/>
      <c r="AD1" s="281"/>
      <c r="AE1" s="281"/>
      <c r="AF1" s="282"/>
      <c r="AG1" s="289" t="s">
        <v>66</v>
      </c>
      <c r="AH1" s="290"/>
      <c r="AI1" s="291"/>
      <c r="AJ1" s="60"/>
      <c r="AK1" s="60"/>
      <c r="AL1" s="60"/>
      <c r="AM1" s="60"/>
      <c r="AN1" s="60"/>
      <c r="AO1" s="60"/>
      <c r="AP1" s="60"/>
      <c r="AQ1" s="60"/>
      <c r="AR1" s="60"/>
      <c r="AS1" s="60"/>
      <c r="AT1" s="60"/>
      <c r="AU1" s="60"/>
      <c r="AV1" s="60"/>
      <c r="AW1" s="60"/>
    </row>
    <row r="2" spans="1:49" ht="16.5" customHeight="1" x14ac:dyDescent="0.25">
      <c r="A2" s="279"/>
      <c r="B2" s="279"/>
      <c r="C2" s="279"/>
      <c r="D2" s="283"/>
      <c r="E2" s="284"/>
      <c r="F2" s="284"/>
      <c r="G2" s="284"/>
      <c r="H2" s="284"/>
      <c r="I2" s="284"/>
      <c r="J2" s="284"/>
      <c r="K2" s="284"/>
      <c r="L2" s="284"/>
      <c r="M2" s="284"/>
      <c r="N2" s="284"/>
      <c r="O2" s="284"/>
      <c r="P2" s="284"/>
      <c r="Q2" s="284"/>
      <c r="R2" s="284"/>
      <c r="S2" s="284"/>
      <c r="T2" s="284"/>
      <c r="U2" s="284"/>
      <c r="V2" s="284"/>
      <c r="W2" s="284"/>
      <c r="X2" s="284"/>
      <c r="Y2" s="284"/>
      <c r="Z2" s="284"/>
      <c r="AA2" s="284"/>
      <c r="AB2" s="284"/>
      <c r="AC2" s="284"/>
      <c r="AD2" s="284"/>
      <c r="AE2" s="284"/>
      <c r="AF2" s="285"/>
      <c r="AG2" s="289" t="s">
        <v>67</v>
      </c>
      <c r="AH2" s="290"/>
      <c r="AI2" s="291"/>
      <c r="AJ2" s="60"/>
      <c r="AK2" s="60"/>
      <c r="AL2" s="60"/>
      <c r="AM2" s="60"/>
      <c r="AN2" s="60"/>
      <c r="AO2" s="60"/>
      <c r="AP2" s="60"/>
      <c r="AQ2" s="60"/>
      <c r="AR2" s="60"/>
      <c r="AS2" s="60"/>
      <c r="AT2" s="60"/>
      <c r="AU2" s="60"/>
      <c r="AV2" s="60"/>
      <c r="AW2" s="60"/>
    </row>
    <row r="3" spans="1:49" ht="16.5" customHeight="1" x14ac:dyDescent="0.25">
      <c r="A3" s="279"/>
      <c r="B3" s="279"/>
      <c r="C3" s="279"/>
      <c r="D3" s="283"/>
      <c r="E3" s="284"/>
      <c r="F3" s="284"/>
      <c r="G3" s="284"/>
      <c r="H3" s="284"/>
      <c r="I3" s="284"/>
      <c r="J3" s="284"/>
      <c r="K3" s="284"/>
      <c r="L3" s="284"/>
      <c r="M3" s="284"/>
      <c r="N3" s="284"/>
      <c r="O3" s="284"/>
      <c r="P3" s="284"/>
      <c r="Q3" s="284"/>
      <c r="R3" s="284"/>
      <c r="S3" s="284"/>
      <c r="T3" s="284"/>
      <c r="U3" s="284"/>
      <c r="V3" s="284"/>
      <c r="W3" s="284"/>
      <c r="X3" s="284"/>
      <c r="Y3" s="284"/>
      <c r="Z3" s="284"/>
      <c r="AA3" s="284"/>
      <c r="AB3" s="284"/>
      <c r="AC3" s="284"/>
      <c r="AD3" s="284"/>
      <c r="AE3" s="284"/>
      <c r="AF3" s="285"/>
      <c r="AG3" s="289" t="s">
        <v>68</v>
      </c>
      <c r="AH3" s="290"/>
      <c r="AI3" s="291"/>
      <c r="AJ3" s="60"/>
      <c r="AK3" s="60"/>
      <c r="AL3" s="60"/>
      <c r="AM3" s="60"/>
      <c r="AN3" s="60"/>
      <c r="AO3" s="60"/>
      <c r="AP3" s="60"/>
      <c r="AQ3" s="60"/>
      <c r="AR3" s="60"/>
      <c r="AS3" s="60"/>
      <c r="AT3" s="60"/>
      <c r="AU3" s="60"/>
      <c r="AV3" s="60"/>
      <c r="AW3" s="60"/>
    </row>
    <row r="4" spans="1:49" ht="16.5" customHeight="1" x14ac:dyDescent="0.25">
      <c r="A4" s="279"/>
      <c r="B4" s="279"/>
      <c r="C4" s="279"/>
      <c r="D4" s="286"/>
      <c r="E4" s="287"/>
      <c r="F4" s="287"/>
      <c r="G4" s="287"/>
      <c r="H4" s="287"/>
      <c r="I4" s="287"/>
      <c r="J4" s="287"/>
      <c r="K4" s="287"/>
      <c r="L4" s="287"/>
      <c r="M4" s="287"/>
      <c r="N4" s="287"/>
      <c r="O4" s="287"/>
      <c r="P4" s="287"/>
      <c r="Q4" s="287"/>
      <c r="R4" s="287"/>
      <c r="S4" s="287"/>
      <c r="T4" s="287"/>
      <c r="U4" s="287"/>
      <c r="V4" s="287"/>
      <c r="W4" s="287"/>
      <c r="X4" s="287"/>
      <c r="Y4" s="287"/>
      <c r="Z4" s="287"/>
      <c r="AA4" s="287"/>
      <c r="AB4" s="287"/>
      <c r="AC4" s="287"/>
      <c r="AD4" s="287"/>
      <c r="AE4" s="287"/>
      <c r="AF4" s="288"/>
      <c r="AG4" s="289" t="s">
        <v>69</v>
      </c>
      <c r="AH4" s="290"/>
      <c r="AI4" s="291"/>
      <c r="AJ4" s="60"/>
      <c r="AK4" s="60"/>
      <c r="AL4" s="60"/>
      <c r="AM4" s="60"/>
      <c r="AN4" s="60"/>
      <c r="AO4" s="60"/>
      <c r="AP4" s="60"/>
      <c r="AQ4" s="60"/>
      <c r="AR4" s="60"/>
      <c r="AS4" s="60"/>
      <c r="AT4" s="60"/>
      <c r="AU4" s="60"/>
      <c r="AV4" s="60"/>
      <c r="AW4" s="60"/>
    </row>
    <row r="5" spans="1:49" x14ac:dyDescent="0.25">
      <c r="A5" s="62"/>
      <c r="B5" s="62"/>
      <c r="C5" s="62"/>
      <c r="D5" s="63"/>
      <c r="E5" s="62"/>
      <c r="F5" s="62"/>
      <c r="G5" s="60"/>
      <c r="H5" s="60"/>
      <c r="I5" s="64"/>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row>
    <row r="6" spans="1:49" ht="23.25" customHeight="1" x14ac:dyDescent="0.25">
      <c r="A6" s="300" t="s">
        <v>70</v>
      </c>
      <c r="B6" s="300"/>
      <c r="C6" s="301"/>
      <c r="D6" s="304" t="s">
        <v>7</v>
      </c>
      <c r="E6" s="305"/>
      <c r="F6" s="308" t="s">
        <v>8</v>
      </c>
      <c r="G6" s="308"/>
      <c r="H6" s="309" t="s">
        <v>656</v>
      </c>
      <c r="I6" s="310"/>
      <c r="J6" s="65"/>
      <c r="K6" s="65"/>
      <c r="L6" s="65"/>
      <c r="M6" s="65"/>
      <c r="N6" s="65"/>
      <c r="O6" s="65"/>
      <c r="P6" s="65"/>
      <c r="Q6" s="65"/>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row>
    <row r="7" spans="1:49" ht="25.5" customHeight="1" x14ac:dyDescent="0.25">
      <c r="A7" s="302"/>
      <c r="B7" s="302"/>
      <c r="C7" s="303"/>
      <c r="D7" s="306"/>
      <c r="E7" s="307"/>
      <c r="F7" s="311" t="s">
        <v>10</v>
      </c>
      <c r="G7" s="311"/>
      <c r="H7" s="312" t="s">
        <v>71</v>
      </c>
      <c r="I7" s="310"/>
      <c r="J7" s="65"/>
      <c r="K7" s="65"/>
      <c r="L7" s="65"/>
      <c r="M7" s="65"/>
      <c r="N7" s="65"/>
      <c r="O7" s="65"/>
      <c r="P7" s="65"/>
      <c r="Q7" s="65"/>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row>
    <row r="8" spans="1:49" ht="22.65" customHeight="1" x14ac:dyDescent="0.25">
      <c r="A8" s="292" t="s">
        <v>72</v>
      </c>
      <c r="B8" s="293"/>
      <c r="C8" s="294"/>
      <c r="D8" s="295" t="s">
        <v>73</v>
      </c>
      <c r="E8" s="295"/>
      <c r="F8" s="295"/>
      <c r="G8" s="295"/>
      <c r="H8" s="295"/>
      <c r="I8" s="295"/>
      <c r="J8" s="65"/>
      <c r="K8" s="65"/>
      <c r="L8" s="65"/>
      <c r="M8" s="65"/>
      <c r="N8" s="65"/>
      <c r="O8" s="65"/>
      <c r="P8" s="65"/>
      <c r="Q8" s="65"/>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row>
    <row r="9" spans="1:49" ht="22.65" customHeight="1" x14ac:dyDescent="0.25">
      <c r="A9" s="292" t="s">
        <v>74</v>
      </c>
      <c r="B9" s="293"/>
      <c r="C9" s="294"/>
      <c r="D9" s="295" t="s">
        <v>75</v>
      </c>
      <c r="E9" s="295"/>
      <c r="F9" s="295"/>
      <c r="G9" s="295"/>
      <c r="H9" s="295"/>
      <c r="I9" s="295"/>
      <c r="J9" s="65"/>
      <c r="K9" s="65"/>
      <c r="L9" s="65"/>
      <c r="M9" s="65"/>
      <c r="N9" s="65"/>
      <c r="O9" s="65"/>
      <c r="P9" s="65"/>
      <c r="Q9" s="65"/>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row>
    <row r="10" spans="1:49" ht="16.5" customHeight="1" x14ac:dyDescent="0.25">
      <c r="A10" s="61"/>
      <c r="B10" s="61"/>
      <c r="C10" s="61"/>
      <c r="D10" s="66"/>
      <c r="E10" s="66"/>
      <c r="F10" s="66"/>
      <c r="G10" s="66"/>
      <c r="H10" s="66"/>
      <c r="I10" s="66"/>
      <c r="J10" s="65"/>
      <c r="K10" s="65"/>
      <c r="L10" s="65"/>
      <c r="M10" s="65"/>
      <c r="N10" s="65"/>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row>
    <row r="11" spans="1:49" ht="21.75" customHeight="1" x14ac:dyDescent="0.25">
      <c r="A11" s="296" t="s">
        <v>76</v>
      </c>
      <c r="B11" s="297"/>
      <c r="C11" s="297"/>
      <c r="D11" s="297"/>
      <c r="E11" s="297"/>
      <c r="F11" s="297"/>
      <c r="G11" s="297"/>
      <c r="H11" s="297"/>
      <c r="I11" s="298"/>
      <c r="J11" s="299" t="s">
        <v>77</v>
      </c>
      <c r="K11" s="299"/>
      <c r="L11" s="299"/>
      <c r="M11" s="299"/>
      <c r="N11" s="299"/>
      <c r="O11" s="299"/>
      <c r="P11" s="299"/>
      <c r="Q11" s="299"/>
      <c r="R11" s="299"/>
      <c r="S11" s="299"/>
      <c r="T11" s="299"/>
      <c r="U11" s="299"/>
      <c r="V11" s="299"/>
      <c r="W11" s="299"/>
      <c r="X11" s="299"/>
      <c r="Y11" s="299"/>
      <c r="Z11" s="299"/>
      <c r="AA11" s="299"/>
      <c r="AB11" s="299"/>
      <c r="AC11" s="299"/>
      <c r="AD11" s="299"/>
      <c r="AE11" s="299"/>
      <c r="AF11" s="299"/>
      <c r="AG11" s="299"/>
      <c r="AH11" s="299"/>
      <c r="AI11" s="296" t="s">
        <v>78</v>
      </c>
      <c r="AJ11" s="298"/>
      <c r="AK11" s="320" t="s">
        <v>677</v>
      </c>
      <c r="AL11" s="320" t="s">
        <v>678</v>
      </c>
      <c r="AM11" s="320" t="s">
        <v>679</v>
      </c>
      <c r="AN11" s="320" t="s">
        <v>678</v>
      </c>
      <c r="AO11" s="320" t="s">
        <v>680</v>
      </c>
      <c r="AP11" s="320" t="s">
        <v>678</v>
      </c>
      <c r="AQ11" s="320" t="s">
        <v>681</v>
      </c>
      <c r="AR11" s="320" t="s">
        <v>678</v>
      </c>
      <c r="AS11" s="60"/>
      <c r="AT11" s="60"/>
      <c r="AU11" s="60"/>
      <c r="AV11" s="60"/>
      <c r="AW11" s="60"/>
    </row>
    <row r="12" spans="1:49" ht="16.5" customHeight="1" x14ac:dyDescent="0.25">
      <c r="A12" s="313" t="s">
        <v>79</v>
      </c>
      <c r="B12" s="314" t="s">
        <v>80</v>
      </c>
      <c r="C12" s="314" t="s">
        <v>81</v>
      </c>
      <c r="D12" s="315" t="s">
        <v>82</v>
      </c>
      <c r="E12" s="315" t="s">
        <v>83</v>
      </c>
      <c r="F12" s="315" t="s">
        <v>84</v>
      </c>
      <c r="G12" s="315" t="s">
        <v>85</v>
      </c>
      <c r="H12" s="315" t="s">
        <v>86</v>
      </c>
      <c r="I12" s="315" t="s">
        <v>87</v>
      </c>
      <c r="J12" s="299" t="s">
        <v>88</v>
      </c>
      <c r="K12" s="299"/>
      <c r="L12" s="299"/>
      <c r="M12" s="299"/>
      <c r="N12" s="299"/>
      <c r="O12" s="338" t="s">
        <v>89</v>
      </c>
      <c r="P12" s="338"/>
      <c r="Q12" s="338"/>
      <c r="R12" s="338"/>
      <c r="S12" s="338"/>
      <c r="T12" s="338"/>
      <c r="U12" s="338"/>
      <c r="V12" s="338"/>
      <c r="W12" s="338"/>
      <c r="X12" s="338"/>
      <c r="Y12" s="67"/>
      <c r="Z12" s="67"/>
      <c r="AA12" s="67"/>
      <c r="AB12" s="67"/>
      <c r="AC12" s="67"/>
      <c r="AD12" s="323" t="s">
        <v>90</v>
      </c>
      <c r="AE12" s="323"/>
      <c r="AF12" s="323"/>
      <c r="AG12" s="323"/>
      <c r="AH12" s="323"/>
      <c r="AI12" s="324" t="s">
        <v>91</v>
      </c>
      <c r="AJ12" s="68" t="s">
        <v>92</v>
      </c>
      <c r="AK12" s="321"/>
      <c r="AL12" s="321"/>
      <c r="AM12" s="321"/>
      <c r="AN12" s="321"/>
      <c r="AO12" s="321"/>
      <c r="AP12" s="321"/>
      <c r="AQ12" s="321"/>
      <c r="AR12" s="321"/>
      <c r="AS12" s="60"/>
      <c r="AT12" s="60"/>
      <c r="AU12" s="60"/>
      <c r="AV12" s="60"/>
      <c r="AW12" s="60"/>
    </row>
    <row r="13" spans="1:49" ht="16.5" customHeight="1" x14ac:dyDescent="0.25">
      <c r="A13" s="313"/>
      <c r="B13" s="314"/>
      <c r="C13" s="314"/>
      <c r="D13" s="316"/>
      <c r="E13" s="316"/>
      <c r="F13" s="316"/>
      <c r="G13" s="318"/>
      <c r="H13" s="316"/>
      <c r="I13" s="316"/>
      <c r="J13" s="325" t="s">
        <v>93</v>
      </c>
      <c r="K13" s="325" t="s">
        <v>94</v>
      </c>
      <c r="L13" s="325" t="s">
        <v>95</v>
      </c>
      <c r="M13" s="325" t="s">
        <v>94</v>
      </c>
      <c r="N13" s="325" t="s">
        <v>96</v>
      </c>
      <c r="O13" s="327" t="s">
        <v>97</v>
      </c>
      <c r="P13" s="315" t="s">
        <v>98</v>
      </c>
      <c r="Q13" s="315" t="s">
        <v>99</v>
      </c>
      <c r="R13" s="335" t="s">
        <v>100</v>
      </c>
      <c r="S13" s="336"/>
      <c r="T13" s="336"/>
      <c r="U13" s="336"/>
      <c r="V13" s="336"/>
      <c r="W13" s="336"/>
      <c r="X13" s="337"/>
      <c r="Y13" s="327" t="s">
        <v>101</v>
      </c>
      <c r="Z13" s="327" t="s">
        <v>102</v>
      </c>
      <c r="AA13" s="327" t="s">
        <v>94</v>
      </c>
      <c r="AB13" s="327" t="s">
        <v>103</v>
      </c>
      <c r="AC13" s="327" t="s">
        <v>94</v>
      </c>
      <c r="AD13" s="327" t="s">
        <v>104</v>
      </c>
      <c r="AE13" s="327" t="s">
        <v>94</v>
      </c>
      <c r="AF13" s="327" t="s">
        <v>105</v>
      </c>
      <c r="AG13" s="327" t="s">
        <v>94</v>
      </c>
      <c r="AH13" s="327" t="s">
        <v>106</v>
      </c>
      <c r="AI13" s="324"/>
      <c r="AJ13" s="329" t="s">
        <v>107</v>
      </c>
      <c r="AK13" s="321"/>
      <c r="AL13" s="321"/>
      <c r="AM13" s="321"/>
      <c r="AN13" s="321"/>
      <c r="AO13" s="321"/>
      <c r="AP13" s="321"/>
      <c r="AQ13" s="321"/>
      <c r="AR13" s="321"/>
      <c r="AS13" s="60"/>
      <c r="AT13" s="60"/>
      <c r="AU13" s="60"/>
      <c r="AV13" s="60"/>
      <c r="AW13" s="60"/>
    </row>
    <row r="14" spans="1:49" s="98" customFormat="1" ht="34.5" customHeight="1" x14ac:dyDescent="0.3">
      <c r="A14" s="313"/>
      <c r="B14" s="314"/>
      <c r="C14" s="314"/>
      <c r="D14" s="317"/>
      <c r="E14" s="317"/>
      <c r="F14" s="317"/>
      <c r="G14" s="319"/>
      <c r="H14" s="317"/>
      <c r="I14" s="317"/>
      <c r="J14" s="326"/>
      <c r="K14" s="326"/>
      <c r="L14" s="326"/>
      <c r="M14" s="326"/>
      <c r="N14" s="326"/>
      <c r="O14" s="328"/>
      <c r="P14" s="317"/>
      <c r="Q14" s="317"/>
      <c r="R14" s="69" t="s">
        <v>108</v>
      </c>
      <c r="S14" s="69" t="s">
        <v>109</v>
      </c>
      <c r="T14" s="69" t="s">
        <v>110</v>
      </c>
      <c r="U14" s="69" t="s">
        <v>111</v>
      </c>
      <c r="V14" s="69" t="s">
        <v>112</v>
      </c>
      <c r="W14" s="69" t="s">
        <v>113</v>
      </c>
      <c r="X14" s="70" t="s">
        <v>114</v>
      </c>
      <c r="Y14" s="328"/>
      <c r="Z14" s="328"/>
      <c r="AA14" s="328"/>
      <c r="AB14" s="328"/>
      <c r="AC14" s="328"/>
      <c r="AD14" s="328"/>
      <c r="AE14" s="328"/>
      <c r="AF14" s="328"/>
      <c r="AG14" s="328"/>
      <c r="AH14" s="328"/>
      <c r="AI14" s="324"/>
      <c r="AJ14" s="330"/>
      <c r="AK14" s="322"/>
      <c r="AL14" s="322"/>
      <c r="AM14" s="322"/>
      <c r="AN14" s="322"/>
      <c r="AO14" s="322"/>
      <c r="AP14" s="322"/>
      <c r="AQ14" s="322"/>
      <c r="AR14" s="322"/>
      <c r="AS14" s="71"/>
      <c r="AT14" s="71"/>
      <c r="AU14" s="71"/>
      <c r="AV14" s="71"/>
      <c r="AW14" s="71"/>
    </row>
    <row r="15" spans="1:49" ht="171.6" customHeight="1" x14ac:dyDescent="0.25">
      <c r="A15" s="331" t="s">
        <v>115</v>
      </c>
      <c r="B15" s="332" t="s">
        <v>116</v>
      </c>
      <c r="C15" s="333" t="s">
        <v>117</v>
      </c>
      <c r="D15" s="334" t="s">
        <v>118</v>
      </c>
      <c r="E15" s="334" t="s">
        <v>119</v>
      </c>
      <c r="F15" s="334" t="s">
        <v>120</v>
      </c>
      <c r="G15" s="334" t="s">
        <v>121</v>
      </c>
      <c r="H15" s="343" t="s">
        <v>122</v>
      </c>
      <c r="I15" s="345" t="s">
        <v>659</v>
      </c>
      <c r="J15" s="339" t="s">
        <v>124</v>
      </c>
      <c r="K15" s="347">
        <f>IF(J15="","",IF(J15="Muy Baja",0.2,IF(J15="Baja",0.4,IF(J15="Media",0.6,IF(J15="Alta",0.8,IF(J15="Muy Alta",1,))))))</f>
        <v>0.8</v>
      </c>
      <c r="L15" s="339" t="s">
        <v>125</v>
      </c>
      <c r="M15" s="347">
        <f>IF(L15="","",IF(L15="Leve",0.2,IF(L15="Menor",0.4,IF(L15="Moderado",0.6,IF(L15="Mayor",0.8,IF(L15="Catastrófico",1,))))))</f>
        <v>0.6</v>
      </c>
      <c r="N15" s="357"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25" t="s">
        <v>126</v>
      </c>
      <c r="P15" s="91" t="s">
        <v>127</v>
      </c>
      <c r="Q15" s="25" t="str">
        <f t="shared" ref="Q15:Q46" si="0">IF(OR(R15="Preventivo",R15="Detectivo"),"Probabilidad",IF(R15="Correctivo","Impacto",""))</f>
        <v>Probabilidad</v>
      </c>
      <c r="R15" s="73" t="s">
        <v>128</v>
      </c>
      <c r="S15" s="73" t="s">
        <v>129</v>
      </c>
      <c r="T15" s="26" t="str">
        <f t="shared" ref="T15:T46" si="1">IF(AND(R15="Preventivo",S15="Automático"),"50%",IF(AND(R15="Preventivo",S15="Manual"),"40%",IF(AND(R15="Detectivo",S15="Automático"),"40%",IF(AND(R15="Detectivo",S15="Manual"),"30%",IF(AND(R15="Correctivo",S15="Automático"),"35%",IF(AND(R15="Correctivo",S15="Manual"),"25%",""))))))</f>
        <v>30%</v>
      </c>
      <c r="U15" s="73" t="s">
        <v>130</v>
      </c>
      <c r="V15" s="73" t="s">
        <v>131</v>
      </c>
      <c r="W15" s="73" t="s">
        <v>132</v>
      </c>
      <c r="X15" s="91" t="s">
        <v>133</v>
      </c>
      <c r="Y15" s="59">
        <f>IFERROR(IF(Q15="Probabilidad",(K15-(+K15*T15)),IF(Q15="Impacto",K15,"")),"")</f>
        <v>0.56000000000000005</v>
      </c>
      <c r="Z15" s="58" t="str">
        <f t="shared" ref="Z15:Z46" si="2">IFERROR(IF(Y15="","",IF(Y15&lt;=0.2,"Muy Baja",IF(Y15&lt;=0.4,"Baja",IF(Y15&lt;=0.6,"Media",IF(Y15&lt;=0.8,"Alta","Muy Alta"))))),"")</f>
        <v>Media</v>
      </c>
      <c r="AA15" s="26">
        <f t="shared" ref="AA15:AA46" si="3">+Y15</f>
        <v>0.56000000000000005</v>
      </c>
      <c r="AB15" s="58" t="str">
        <f t="shared" ref="AB15:AB46" si="4">IFERROR(IF(AC15="","",IF(AC15&lt;=0.2,"Leve",IF(AC15&lt;=0.4,"Menor",IF(AC15&lt;=0.6,"Moderado",IF(AC15&lt;=0.8,"Mayor","Catastrófico"))))),"")</f>
        <v>Moderado</v>
      </c>
      <c r="AC15" s="26">
        <f>IFERROR(IF(Q15="Impacto",(M15-(+M15*T15)),IF(Q15="Probabilidad",M15,"")),"")</f>
        <v>0.6</v>
      </c>
      <c r="AD15" s="339" t="str">
        <f>IFERROR(IF(AE15=0,"",IF(AND(AE15&gt;0,AE15&lt;=0.2),"Muy Baja",IF(AE15&lt;=0.4,"Baja",IF(AE15&lt;=0.6,"Media",IF(AE15&lt;=0.8,"Alta","Muy Alta"))))),"")</f>
        <v>Baja</v>
      </c>
      <c r="AE15" s="341">
        <f>MIN(Y15:Y16)</f>
        <v>0.33600000000000002</v>
      </c>
      <c r="AF15" s="339" t="str">
        <f>IFERROR(IF(AG15=0,"",IF(AND(AG15&gt;0,AG15&lt;=0.2),"Leve",IF(AG15&lt;=0.4,"Menor",IF(AG15&lt;=0.6,"Moderado",IF(AG15&lt;=0.8,"Mayor","Catastrófico"))))),"")</f>
        <v>Moderado</v>
      </c>
      <c r="AG15" s="341">
        <f>MIN(AC15:AC16)</f>
        <v>0.6</v>
      </c>
      <c r="AH15" s="350"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Moderado</v>
      </c>
      <c r="AI15" s="352" t="s">
        <v>134</v>
      </c>
      <c r="AJ15" s="79"/>
      <c r="AK15" s="354" t="s">
        <v>683</v>
      </c>
      <c r="AL15" s="355" t="s">
        <v>708</v>
      </c>
      <c r="AM15" s="354" t="s">
        <v>683</v>
      </c>
      <c r="AN15" s="356" t="s">
        <v>758</v>
      </c>
      <c r="AO15" s="348" t="s">
        <v>682</v>
      </c>
      <c r="AP15" s="349"/>
      <c r="AQ15" s="348" t="s">
        <v>682</v>
      </c>
      <c r="AR15" s="349"/>
      <c r="AS15" s="60"/>
      <c r="AT15" s="60"/>
      <c r="AU15" s="60"/>
      <c r="AV15" s="60"/>
      <c r="AW15" s="60"/>
    </row>
    <row r="16" spans="1:49" ht="144" customHeight="1" x14ac:dyDescent="0.25">
      <c r="A16" s="331"/>
      <c r="B16" s="332"/>
      <c r="C16" s="333"/>
      <c r="D16" s="334"/>
      <c r="E16" s="334"/>
      <c r="F16" s="334"/>
      <c r="G16" s="334"/>
      <c r="H16" s="344"/>
      <c r="I16" s="346"/>
      <c r="J16" s="340"/>
      <c r="K16" s="347"/>
      <c r="L16" s="340"/>
      <c r="M16" s="347"/>
      <c r="N16" s="357"/>
      <c r="O16" s="25" t="s">
        <v>135</v>
      </c>
      <c r="P16" s="91" t="s">
        <v>136</v>
      </c>
      <c r="Q16" s="25" t="str">
        <f t="shared" si="0"/>
        <v>Probabilidad</v>
      </c>
      <c r="R16" s="73" t="s">
        <v>137</v>
      </c>
      <c r="S16" s="73" t="s">
        <v>129</v>
      </c>
      <c r="T16" s="26" t="str">
        <f t="shared" si="1"/>
        <v>40%</v>
      </c>
      <c r="U16" s="73" t="s">
        <v>130</v>
      </c>
      <c r="V16" s="73" t="s">
        <v>131</v>
      </c>
      <c r="W16" s="73" t="s">
        <v>132</v>
      </c>
      <c r="X16" s="91" t="s">
        <v>133</v>
      </c>
      <c r="Y16" s="59">
        <f>IFERROR(IF(AND(Q15="Probabilidad",Q16="Probabilidad"),(AA15-(+AA15*T16)),IF(Q16="Probabilidad",(K15-(+K15*T16)),IF(Q16="Impacto",AA15,""))),"")</f>
        <v>0.33600000000000002</v>
      </c>
      <c r="Z16" s="58" t="str">
        <f t="shared" si="2"/>
        <v>Baja</v>
      </c>
      <c r="AA16" s="26">
        <f t="shared" si="3"/>
        <v>0.33600000000000002</v>
      </c>
      <c r="AB16" s="58" t="str">
        <f t="shared" si="4"/>
        <v>Moderado</v>
      </c>
      <c r="AC16" s="26">
        <f>IFERROR(IF(AND(Q15="Impacto",Q16="Impacto"),(AC15-(+AC15*T16)),IF(Q16="Impacto",(#REF!-(+#REF!*T16)),IF(Q16="Probabilidad",AC15,""))),"")</f>
        <v>0.6</v>
      </c>
      <c r="AD16" s="340"/>
      <c r="AE16" s="342"/>
      <c r="AF16" s="340"/>
      <c r="AG16" s="342"/>
      <c r="AH16" s="351"/>
      <c r="AI16" s="353"/>
      <c r="AJ16" s="80"/>
      <c r="AK16" s="349"/>
      <c r="AL16" s="355"/>
      <c r="AM16" s="349"/>
      <c r="AN16" s="356"/>
      <c r="AO16" s="349"/>
      <c r="AP16" s="349"/>
      <c r="AQ16" s="349"/>
      <c r="AR16" s="349"/>
      <c r="AS16" s="60"/>
      <c r="AT16" s="60"/>
      <c r="AU16" s="60"/>
      <c r="AV16" s="60"/>
      <c r="AW16" s="60"/>
    </row>
    <row r="17" spans="1:60" ht="250.2" customHeight="1" x14ac:dyDescent="0.25">
      <c r="A17" s="331" t="s">
        <v>138</v>
      </c>
      <c r="B17" s="332" t="s">
        <v>139</v>
      </c>
      <c r="C17" s="332" t="s">
        <v>117</v>
      </c>
      <c r="D17" s="332" t="s">
        <v>140</v>
      </c>
      <c r="E17" s="332" t="s">
        <v>141</v>
      </c>
      <c r="F17" s="332" t="s">
        <v>142</v>
      </c>
      <c r="G17" s="334" t="s">
        <v>143</v>
      </c>
      <c r="H17" s="343" t="s">
        <v>144</v>
      </c>
      <c r="I17" s="345" t="s">
        <v>659</v>
      </c>
      <c r="J17" s="339" t="s">
        <v>124</v>
      </c>
      <c r="K17" s="347">
        <f>IF(J17="","",IF(J17="Muy Baja",0.2,IF(J17="Baja",0.4,IF(J17="Media",0.6,IF(J17="Alta",0.8,IF(J17="Muy Alta",1,))))))</f>
        <v>0.8</v>
      </c>
      <c r="L17" s="339" t="s">
        <v>145</v>
      </c>
      <c r="M17" s="347">
        <f>IF(L17="","",IF(L17="Leve",0.2,IF(L17="Menor",0.4,IF(L17="Moderado",0.6,IF(L17="Mayor",0.8,IF(L17="Catastrófico",1,))))))</f>
        <v>0.8</v>
      </c>
      <c r="N17" s="357" t="str">
        <f>IF(OR(AND(J17="Muy Baja",L17="Leve"),AND(J17="Muy Baja",L17="Menor"),AND(J17="Baja",L17="Leve")),"Bajo",IF(OR(AND(J17="Muy baja",L17="Moderado"),AND(J17="Baja",L17="Menor"),AND(J17="Baja",L17="Moderado"),AND(J17="Media",L17="Leve"),AND(J17="Media",L17="Menor"),AND(J17="Media",L17="Moderado"),AND(J17="Alta",L17="Leve"),AND(J17="Alta",L17="Menor")),"Moderado",IF(OR(AND(J17="Muy Baja",L17="Mayor"),AND(J17="Baja",L17="Mayor"),AND(J17="Media",L17="Mayor"),AND(J17="Alta",L17="Moderado"),AND(J17="Alta",L17="Mayor"),AND(J17="Muy Alta",L17="Leve"),AND(J17="Muy Alta",L17="Menor"),AND(J17="Muy Alta",L17="Moderado"),AND(J17="Muy Alta",L17="Mayor")),"Alto",IF(OR(AND(J17="Muy Baja",L17="Catastrófico"),AND(J17="Baja",L17="Catastrófico"),AND(J17="Media",L17="Catastrófico"),AND(J17="Alta",L17="Catastrófico"),AND(J17="Muy Alta",L17="Catastrófico")),"Extremo",""))))</f>
        <v>Alto</v>
      </c>
      <c r="O17" s="25" t="s">
        <v>126</v>
      </c>
      <c r="P17" s="76" t="s">
        <v>146</v>
      </c>
      <c r="Q17" s="25" t="str">
        <f t="shared" si="0"/>
        <v>Probabilidad</v>
      </c>
      <c r="R17" s="73" t="s">
        <v>128</v>
      </c>
      <c r="S17" s="73" t="s">
        <v>129</v>
      </c>
      <c r="T17" s="26" t="str">
        <f t="shared" si="1"/>
        <v>30%</v>
      </c>
      <c r="U17" s="73" t="s">
        <v>130</v>
      </c>
      <c r="V17" s="73" t="s">
        <v>147</v>
      </c>
      <c r="W17" s="73" t="s">
        <v>132</v>
      </c>
      <c r="X17" s="76" t="s">
        <v>148</v>
      </c>
      <c r="Y17" s="59">
        <f>IFERROR(IF(Q17="Probabilidad",(K17-(+K17*T17)),IF(Q17="Impacto",K17,"")),"")</f>
        <v>0.56000000000000005</v>
      </c>
      <c r="Z17" s="58" t="str">
        <f t="shared" si="2"/>
        <v>Media</v>
      </c>
      <c r="AA17" s="26">
        <f t="shared" si="3"/>
        <v>0.56000000000000005</v>
      </c>
      <c r="AB17" s="58" t="str">
        <f t="shared" si="4"/>
        <v>Mayor</v>
      </c>
      <c r="AC17" s="26">
        <f>IFERROR(IF(Q17="Impacto",(M17-(+M17*T17)),IF(Q17="Probabilidad",M17,"")),"")</f>
        <v>0.8</v>
      </c>
      <c r="AD17" s="339" t="str">
        <f>IFERROR(IF(AE17=0,"",IF(AND(AE17&gt;0,AE17&lt;=0.2),"Muy Baja",IF(AE17&lt;=0.4,"Baja",IF(AE17&lt;=0.6,"Media",IF(AE17&lt;=0.8,"Alta","Muy Alta"))))),"")</f>
        <v>Baja</v>
      </c>
      <c r="AE17" s="341">
        <f>MIN(Y17:Y19)</f>
        <v>0.33600000000000002</v>
      </c>
      <c r="AF17" s="339" t="str">
        <f>IFERROR(IF(AG17=0,"",IF(AND(AG17&gt;0,AG17&lt;=0.2),"Leve",IF(AG17&lt;=0.4,"Menor",IF(AG17&lt;=0.6,"Moderado",IF(AG17&lt;=0.8,"Mayor","Catastrófico"))))),"")</f>
        <v>Moderado</v>
      </c>
      <c r="AG17" s="341">
        <f>MIN(AC17:AC19)</f>
        <v>0.60000000000000009</v>
      </c>
      <c r="AH17" s="350" t="str">
        <f>IFERROR(IF(OR(AND(AD17="Muy Baja",AF17="Leve"),AND(AD17="Muy Baja",AF17="Menor"),AND(AD17="Baja",AF17="Leve")),"Bajo",IF(OR(AND(AD17="Muy Baja",AF17="Moderado"),AND(AD17="Baja",AF17="Menor"),AND(AD17="Baja",AF17="Moderado"),AND(AD17="Media",AF17="Leve"),AND(AD17="Media",AF17="Menor"),AND(AD17="Media",AF17="Moderado"),AND(AD17="Alta",AF17="Leve"),AND(AD17="Alta",AF17="Menor")),"Moderado",IF(OR(AND(AD17="Muy Baja",AF17="Mayor"),AND(AD17="Baja",AF17="Mayor"),AND(AD17="Media",AF17="Mayor"),AND(AD17="Alta",AF17="Moderado"),AND(AD17="Alta",AF17="Mayor"),AND(AD17="Muy Alta",AF17="Leve"),AND(AD17="Muy Alta",AF17="Menor"),AND(AD17="Muy Alta",AF17="Moderado"),AND(AD17="Muy Alta",AF17="Mayor")),"Alto",IF(OR(AND(AD17="Muy Baja",AF17="Catastrófico"),AND(AD17="Baja",AF17="Catastrófico"),AND(AD17="Media",AF17="Catastrófico"),AND(AD17="Alta",AF17="Catastrófico"),AND(AD17="Muy Alta",AF17="Catastrófico")),"Extremo","")))),"")</f>
        <v>Moderado</v>
      </c>
      <c r="AI17" s="352" t="s">
        <v>134</v>
      </c>
      <c r="AJ17" s="358"/>
      <c r="AK17" s="354" t="s">
        <v>684</v>
      </c>
      <c r="AL17" s="355" t="s">
        <v>708</v>
      </c>
      <c r="AM17" s="354" t="s">
        <v>684</v>
      </c>
      <c r="AN17" s="356" t="s">
        <v>739</v>
      </c>
      <c r="AO17" s="348" t="s">
        <v>682</v>
      </c>
      <c r="AP17" s="349"/>
      <c r="AQ17" s="348" t="s">
        <v>682</v>
      </c>
      <c r="AR17" s="349"/>
      <c r="AS17" s="60"/>
      <c r="AT17" s="60"/>
      <c r="AU17" s="60"/>
      <c r="AV17" s="60"/>
      <c r="AW17" s="60"/>
    </row>
    <row r="18" spans="1:60" ht="40.200000000000003" customHeight="1" x14ac:dyDescent="0.25">
      <c r="A18" s="331"/>
      <c r="B18" s="332"/>
      <c r="C18" s="332"/>
      <c r="D18" s="332"/>
      <c r="E18" s="332"/>
      <c r="F18" s="332"/>
      <c r="G18" s="334"/>
      <c r="H18" s="360"/>
      <c r="I18" s="346"/>
      <c r="J18" s="340"/>
      <c r="K18" s="347"/>
      <c r="L18" s="340"/>
      <c r="M18" s="347"/>
      <c r="N18" s="357"/>
      <c r="O18" s="25" t="s">
        <v>135</v>
      </c>
      <c r="P18" s="76" t="s">
        <v>149</v>
      </c>
      <c r="Q18" s="25" t="str">
        <f t="shared" si="0"/>
        <v>Probabilidad</v>
      </c>
      <c r="R18" s="73" t="s">
        <v>137</v>
      </c>
      <c r="S18" s="73" t="s">
        <v>129</v>
      </c>
      <c r="T18" s="26" t="str">
        <f t="shared" si="1"/>
        <v>40%</v>
      </c>
      <c r="U18" s="73" t="s">
        <v>130</v>
      </c>
      <c r="V18" s="73" t="s">
        <v>131</v>
      </c>
      <c r="W18" s="73" t="s">
        <v>132</v>
      </c>
      <c r="X18" s="76" t="s">
        <v>150</v>
      </c>
      <c r="Y18" s="59">
        <f>IFERROR(IF(AND(Q17="Probabilidad",Q18="Probabilidad"),(AA17-(+AA17*T18)),IF(Q18="Probabilidad",(K17-(+K17*T18)),IF(Q18="Impacto",AA17,""))),"")</f>
        <v>0.33600000000000002</v>
      </c>
      <c r="Z18" s="58" t="str">
        <f t="shared" si="2"/>
        <v>Baja</v>
      </c>
      <c r="AA18" s="26">
        <f t="shared" si="3"/>
        <v>0.33600000000000002</v>
      </c>
      <c r="AB18" s="58" t="str">
        <f t="shared" si="4"/>
        <v>Mayor</v>
      </c>
      <c r="AC18" s="26">
        <f>IFERROR(IF(AND(Q17="Impacto",Q18="Impacto"),(AC17-(+AC17*T18)),IF(Q18="Impacto",(#REF!-(+#REF!*T18)),IF(Q18="Probabilidad",AC17,""))),"")</f>
        <v>0.8</v>
      </c>
      <c r="AD18" s="340"/>
      <c r="AE18" s="342"/>
      <c r="AF18" s="340"/>
      <c r="AG18" s="342"/>
      <c r="AH18" s="351"/>
      <c r="AI18" s="353"/>
      <c r="AJ18" s="358"/>
      <c r="AK18" s="359"/>
      <c r="AL18" s="355"/>
      <c r="AM18" s="359"/>
      <c r="AN18" s="356"/>
      <c r="AO18" s="349"/>
      <c r="AP18" s="349"/>
      <c r="AQ18" s="349"/>
      <c r="AR18" s="349"/>
      <c r="AS18" s="60"/>
      <c r="AT18" s="60"/>
      <c r="AU18" s="60"/>
      <c r="AV18" s="60"/>
      <c r="AW18" s="60"/>
    </row>
    <row r="19" spans="1:60" ht="78" customHeight="1" x14ac:dyDescent="0.25">
      <c r="A19" s="331"/>
      <c r="B19" s="332"/>
      <c r="C19" s="332"/>
      <c r="D19" s="332"/>
      <c r="E19" s="332"/>
      <c r="F19" s="332"/>
      <c r="G19" s="334"/>
      <c r="H19" s="90"/>
      <c r="I19" s="346"/>
      <c r="J19" s="340"/>
      <c r="K19" s="347"/>
      <c r="L19" s="340"/>
      <c r="M19" s="347"/>
      <c r="N19" s="357"/>
      <c r="O19" s="25">
        <v>2</v>
      </c>
      <c r="P19" s="91" t="s">
        <v>151</v>
      </c>
      <c r="Q19" s="25" t="str">
        <f t="shared" si="0"/>
        <v>Impacto</v>
      </c>
      <c r="R19" s="73" t="s">
        <v>152</v>
      </c>
      <c r="S19" s="73" t="s">
        <v>129</v>
      </c>
      <c r="T19" s="26" t="str">
        <f t="shared" si="1"/>
        <v>25%</v>
      </c>
      <c r="U19" s="73" t="s">
        <v>130</v>
      </c>
      <c r="V19" s="73" t="s">
        <v>131</v>
      </c>
      <c r="W19" s="73" t="s">
        <v>132</v>
      </c>
      <c r="X19" s="76" t="s">
        <v>153</v>
      </c>
      <c r="Y19" s="59">
        <f>IFERROR(IF(AND(Q18="Probabilidad",Q19="Probabilidad"),(AA18-(+AA18*T19)),IF(AND(Q18="Impacto",Q19="Probabilidad"),(AA17-(+AA17*T19)),IF(Q19="Impacto",AA18,""))),"")</f>
        <v>0.33600000000000002</v>
      </c>
      <c r="Z19" s="58" t="str">
        <f t="shared" si="2"/>
        <v>Baja</v>
      </c>
      <c r="AA19" s="26">
        <f t="shared" si="3"/>
        <v>0.33600000000000002</v>
      </c>
      <c r="AB19" s="58" t="str">
        <f t="shared" si="4"/>
        <v>Moderado</v>
      </c>
      <c r="AC19" s="26">
        <f>IFERROR(IF(AND(Q18="Impacto",Q19="Impacto"),(AC18-(+AC18*T19)),IF(AND(Q18="Probabilidad",Q19="Impacto"),(AC17-(+AC17*T19)),IF(Q19="Probabilidad",AC18,""))),"")</f>
        <v>0.60000000000000009</v>
      </c>
      <c r="AD19" s="340"/>
      <c r="AE19" s="342"/>
      <c r="AF19" s="340"/>
      <c r="AG19" s="342"/>
      <c r="AH19" s="351"/>
      <c r="AI19" s="353"/>
      <c r="AJ19" s="358"/>
      <c r="AK19" s="359"/>
      <c r="AL19" s="355"/>
      <c r="AM19" s="359"/>
      <c r="AN19" s="356"/>
      <c r="AO19" s="349"/>
      <c r="AP19" s="349"/>
      <c r="AQ19" s="349"/>
      <c r="AR19" s="349"/>
      <c r="AS19" s="60"/>
      <c r="AT19" s="60"/>
      <c r="AU19" s="60"/>
      <c r="AV19" s="60"/>
      <c r="AW19" s="60"/>
    </row>
    <row r="20" spans="1:60" ht="97.5" customHeight="1" x14ac:dyDescent="0.25">
      <c r="A20" s="331" t="s">
        <v>154</v>
      </c>
      <c r="B20" s="332" t="s">
        <v>155</v>
      </c>
      <c r="C20" s="332" t="s">
        <v>117</v>
      </c>
      <c r="D20" s="332" t="s">
        <v>156</v>
      </c>
      <c r="E20" s="332" t="s">
        <v>157</v>
      </c>
      <c r="F20" s="332" t="s">
        <v>158</v>
      </c>
      <c r="G20" s="334" t="s">
        <v>159</v>
      </c>
      <c r="H20" s="81"/>
      <c r="I20" s="345" t="s">
        <v>661</v>
      </c>
      <c r="J20" s="339" t="s">
        <v>124</v>
      </c>
      <c r="K20" s="347">
        <f>IF(J20="","",IF(J20="Muy Baja",0.2,IF(J20="Baja",0.4,IF(J20="Media",0.6,IF(J20="Alta",0.8,IF(J20="Muy Alta",1,))))))</f>
        <v>0.8</v>
      </c>
      <c r="L20" s="339" t="s">
        <v>160</v>
      </c>
      <c r="M20" s="347">
        <f>IF(L20="","",IF(L20="Leve",0.2,IF(L20="Menor",0.4,IF(L20="Moderado",0.6,IF(L20="Mayor",0.8,IF(L20="Catastrófico",1,))))))</f>
        <v>1</v>
      </c>
      <c r="N20" s="357" t="str">
        <f>IF(OR(AND(J20="Muy Baja",L20="Leve"),AND(J20="Muy Baja",L20="Menor"),AND(J20="Baja",L20="Leve")),"Bajo",IF(OR(AND(J20="Muy baja",L20="Moderado"),AND(J20="Baja",L20="Menor"),AND(J20="Baja",L20="Moderado"),AND(J20="Media",L20="Leve"),AND(J20="Media",L20="Menor"),AND(J20="Media",L20="Moderado"),AND(J20="Alta",L20="Leve"),AND(J20="Alta",L20="Menor")),"Moderado",IF(OR(AND(J20="Muy Baja",L20="Mayor"),AND(J20="Baja",L20="Mayor"),AND(J20="Media",L20="Mayor"),AND(J20="Alta",L20="Moderado"),AND(J20="Alta",L20="Mayor"),AND(J20="Muy Alta",L20="Leve"),AND(J20="Muy Alta",L20="Menor"),AND(J20="Muy Alta",L20="Moderado"),AND(J20="Muy Alta",L20="Mayor")),"Alto",IF(OR(AND(J20="Muy Baja",L20="Catastrófico"),AND(J20="Baja",L20="Catastrófico"),AND(J20="Media",L20="Catastrófico"),AND(J20="Alta",L20="Catastrófico"),AND(J20="Muy Alta",L20="Catastrófico")),"Extremo",""))))</f>
        <v>Extremo</v>
      </c>
      <c r="O20" s="25">
        <v>0</v>
      </c>
      <c r="P20" s="78" t="s">
        <v>161</v>
      </c>
      <c r="Q20" s="25" t="str">
        <f t="shared" si="0"/>
        <v>Impacto</v>
      </c>
      <c r="R20" s="73" t="s">
        <v>152</v>
      </c>
      <c r="S20" s="73" t="s">
        <v>129</v>
      </c>
      <c r="T20" s="26" t="str">
        <f t="shared" si="1"/>
        <v>25%</v>
      </c>
      <c r="U20" s="73" t="s">
        <v>162</v>
      </c>
      <c r="V20" s="73" t="s">
        <v>147</v>
      </c>
      <c r="W20" s="73" t="s">
        <v>132</v>
      </c>
      <c r="X20" s="78" t="s">
        <v>163</v>
      </c>
      <c r="Y20" s="59">
        <f>IFERROR(IF(Q20="Probabilidad",(K20-(+K20*T20)),IF(Q20="Impacto",K20,"")),"")</f>
        <v>0.8</v>
      </c>
      <c r="Z20" s="58" t="str">
        <f t="shared" si="2"/>
        <v>Alta</v>
      </c>
      <c r="AA20" s="26">
        <f t="shared" si="3"/>
        <v>0.8</v>
      </c>
      <c r="AB20" s="58" t="str">
        <f t="shared" si="4"/>
        <v>Mayor</v>
      </c>
      <c r="AC20" s="26">
        <f>IFERROR(IF(Q20="Impacto",(M20-(+M20*T20)),IF(Q20="Probabilidad",M20,"")),"")</f>
        <v>0.75</v>
      </c>
      <c r="AD20" s="339" t="str">
        <f>IFERROR(IF(AE20=0,"",IF(AND(AE20&gt;0,AE20&lt;=0.2),"Muy Baja",IF(AE20&lt;=0.4,"Baja",IF(AE20&lt;=0.6,"Media",IF(AE20&lt;=0.8,"Alta","Muy Alta"))))),"")</f>
        <v>Muy Baja</v>
      </c>
      <c r="AE20" s="341">
        <f>MIN(Y20:Y25)</f>
        <v>8.4671999999999997E-2</v>
      </c>
      <c r="AF20" s="339" t="str">
        <f>IFERROR(IF(AG20=0,"",IF(AND(AG20&gt;0,AG20&lt;=0.2),"Leve",IF(AG20&lt;=0.4,"Menor",IF(AG20&lt;=0.6,"Moderado",IF(AG20&lt;=0.8,"Mayor","Catastrófico"))))),"")</f>
        <v>Mayor</v>
      </c>
      <c r="AG20" s="341">
        <f>MIN(AC20:AC25)</f>
        <v>0.75</v>
      </c>
      <c r="AH20" s="350" t="str">
        <f>IFERROR(IF(OR(AND(AD20="Muy Baja",AF20="Leve"),AND(AD20="Muy Baja",AF20="Menor"),AND(AD20="Baja",AF20="Leve")),"Bajo",IF(OR(AND(AD20="Muy Baja",AF20="Moderado"),AND(AD20="Baja",AF20="Menor"),AND(AD20="Baja",AF20="Moderado"),AND(AD20="Media",AF20="Leve"),AND(AD20="Media",AF20="Menor"),AND(AD20="Media",AF20="Moderado"),AND(AD20="Alta",AF20="Leve"),AND(AD20="Alta",AF20="Menor")),"Moderado",IF(OR(AND(AD20="Muy Baja",AF20="Mayor"),AND(AD20="Baja",AF20="Mayor"),AND(AD20="Media",AF20="Mayor"),AND(AD20="Alta",AF20="Moderado"),AND(AD20="Alta",AF20="Mayor"),AND(AD20="Muy Alta",AF20="Leve"),AND(AD20="Muy Alta",AF20="Menor"),AND(AD20="Muy Alta",AF20="Moderado"),AND(AD20="Muy Alta",AF20="Mayor")),"Alto",IF(OR(AND(AD20="Muy Baja",AF20="Catastrófico"),AND(AD20="Baja",AF20="Catastrófico"),AND(AD20="Media",AF20="Catastrófico"),AND(AD20="Alta",AF20="Catastrófico"),AND(AD20="Muy Alta",AF20="Catastrófico")),"Extremo","")))),"")</f>
        <v>Alto</v>
      </c>
      <c r="AI20" s="352" t="s">
        <v>134</v>
      </c>
      <c r="AJ20" s="358" t="s">
        <v>164</v>
      </c>
      <c r="AK20" s="354" t="s">
        <v>685</v>
      </c>
      <c r="AL20" s="355" t="s">
        <v>708</v>
      </c>
      <c r="AM20" s="354" t="s">
        <v>685</v>
      </c>
      <c r="AN20" s="356" t="s">
        <v>740</v>
      </c>
      <c r="AO20" s="348" t="s">
        <v>682</v>
      </c>
      <c r="AP20" s="349"/>
      <c r="AQ20" s="348" t="s">
        <v>682</v>
      </c>
      <c r="AR20" s="349"/>
      <c r="AS20" s="60"/>
      <c r="AT20" s="60"/>
      <c r="AU20" s="60"/>
      <c r="AV20" s="60"/>
      <c r="AW20" s="60"/>
    </row>
    <row r="21" spans="1:60" ht="76.650000000000006" customHeight="1" x14ac:dyDescent="0.25">
      <c r="A21" s="331"/>
      <c r="B21" s="332"/>
      <c r="C21" s="332"/>
      <c r="D21" s="332"/>
      <c r="E21" s="332"/>
      <c r="F21" s="332"/>
      <c r="G21" s="334"/>
      <c r="H21" s="81" t="s">
        <v>165</v>
      </c>
      <c r="I21" s="346"/>
      <c r="J21" s="340"/>
      <c r="K21" s="347"/>
      <c r="L21" s="340"/>
      <c r="M21" s="347"/>
      <c r="N21" s="357"/>
      <c r="O21" s="25">
        <v>1</v>
      </c>
      <c r="P21" s="81" t="s">
        <v>166</v>
      </c>
      <c r="Q21" s="25" t="str">
        <f t="shared" si="0"/>
        <v>Probabilidad</v>
      </c>
      <c r="R21" s="73" t="s">
        <v>137</v>
      </c>
      <c r="S21" s="73" t="s">
        <v>129</v>
      </c>
      <c r="T21" s="26" t="str">
        <f t="shared" si="1"/>
        <v>40%</v>
      </c>
      <c r="U21" s="73" t="s">
        <v>130</v>
      </c>
      <c r="V21" s="73" t="s">
        <v>147</v>
      </c>
      <c r="W21" s="73" t="s">
        <v>167</v>
      </c>
      <c r="X21" s="25" t="s">
        <v>168</v>
      </c>
      <c r="Y21" s="59">
        <f>IFERROR(IF(AND(Q20="Probabilidad",Q21="Probabilidad"),(AA20-(+AA20*T21)),IF(Q21="Probabilidad",(K20-(+K20*T21)),IF(Q21="Impacto",AA20,""))),"")</f>
        <v>0.48</v>
      </c>
      <c r="Z21" s="58" t="str">
        <f t="shared" si="2"/>
        <v>Media</v>
      </c>
      <c r="AA21" s="26">
        <f t="shared" si="3"/>
        <v>0.48</v>
      </c>
      <c r="AB21" s="58" t="str">
        <f t="shared" si="4"/>
        <v>Mayor</v>
      </c>
      <c r="AC21" s="26">
        <f>IFERROR(IF(AND(Q20="Impacto",Q21="Impacto"),(AC20-(+AC20*T21)),IF(Q21="Impacto",(#REF!-(+#REF!*T21)),IF(Q21="Probabilidad",AC20,""))),"")</f>
        <v>0.75</v>
      </c>
      <c r="AD21" s="340"/>
      <c r="AE21" s="342"/>
      <c r="AF21" s="340"/>
      <c r="AG21" s="342"/>
      <c r="AH21" s="351"/>
      <c r="AI21" s="353"/>
      <c r="AJ21" s="358"/>
      <c r="AK21" s="359"/>
      <c r="AL21" s="355"/>
      <c r="AM21" s="359"/>
      <c r="AN21" s="356"/>
      <c r="AO21" s="349"/>
      <c r="AP21" s="349"/>
      <c r="AQ21" s="349"/>
      <c r="AR21" s="349"/>
      <c r="AS21" s="60"/>
      <c r="AT21" s="60"/>
      <c r="AU21" s="60"/>
      <c r="AV21" s="60"/>
      <c r="AW21" s="60"/>
    </row>
    <row r="22" spans="1:60" ht="76.650000000000006" customHeight="1" x14ac:dyDescent="0.25">
      <c r="A22" s="331"/>
      <c r="B22" s="332"/>
      <c r="C22" s="332"/>
      <c r="D22" s="332"/>
      <c r="E22" s="332"/>
      <c r="F22" s="332"/>
      <c r="G22" s="334"/>
      <c r="H22" s="81" t="s">
        <v>169</v>
      </c>
      <c r="I22" s="346"/>
      <c r="J22" s="340"/>
      <c r="K22" s="347"/>
      <c r="L22" s="340"/>
      <c r="M22" s="347"/>
      <c r="N22" s="357"/>
      <c r="O22" s="25">
        <v>2</v>
      </c>
      <c r="P22" s="81" t="s">
        <v>170</v>
      </c>
      <c r="Q22" s="25" t="str">
        <f t="shared" si="0"/>
        <v>Probabilidad</v>
      </c>
      <c r="R22" s="73" t="s">
        <v>137</v>
      </c>
      <c r="S22" s="73" t="s">
        <v>129</v>
      </c>
      <c r="T22" s="26" t="str">
        <f t="shared" si="1"/>
        <v>40%</v>
      </c>
      <c r="U22" s="73" t="s">
        <v>162</v>
      </c>
      <c r="V22" s="73" t="s">
        <v>147</v>
      </c>
      <c r="W22" s="73" t="s">
        <v>132</v>
      </c>
      <c r="X22" s="81" t="s">
        <v>171</v>
      </c>
      <c r="Y22" s="59">
        <f>IFERROR(IF(AND(Q21="Probabilidad",Q22="Probabilidad"),(AA21-(+AA21*T22)),IF(AND(Q21="Impacto",Q22="Probabilidad"),(AA20-(+AA20*T22)),IF(Q22="Impacto",AA21,""))),"")</f>
        <v>0.28799999999999998</v>
      </c>
      <c r="Z22" s="58" t="str">
        <f t="shared" si="2"/>
        <v>Baja</v>
      </c>
      <c r="AA22" s="26">
        <f t="shared" si="3"/>
        <v>0.28799999999999998</v>
      </c>
      <c r="AB22" s="58" t="str">
        <f t="shared" si="4"/>
        <v>Mayor</v>
      </c>
      <c r="AC22" s="26">
        <f>IFERROR(IF(AND(Q21="Impacto",Q22="Impacto"),(AC21-(+AC21*T22)),IF(AND(Q21="Probabilidad",Q22="Impacto"),(AC20-(+AC20*T22)),IF(Q22="Probabilidad",AC21,""))),"")</f>
        <v>0.75</v>
      </c>
      <c r="AD22" s="340"/>
      <c r="AE22" s="342"/>
      <c r="AF22" s="340"/>
      <c r="AG22" s="342"/>
      <c r="AH22" s="351"/>
      <c r="AI22" s="353"/>
      <c r="AJ22" s="358"/>
      <c r="AK22" s="359"/>
      <c r="AL22" s="355"/>
      <c r="AM22" s="359"/>
      <c r="AN22" s="356"/>
      <c r="AO22" s="349"/>
      <c r="AP22" s="349"/>
      <c r="AQ22" s="349"/>
      <c r="AR22" s="349"/>
      <c r="AS22" s="60"/>
      <c r="AT22" s="60"/>
      <c r="AU22" s="60"/>
      <c r="AV22" s="60"/>
      <c r="AW22" s="60"/>
    </row>
    <row r="23" spans="1:60" ht="76.650000000000006" customHeight="1" x14ac:dyDescent="0.25">
      <c r="A23" s="331"/>
      <c r="B23" s="332"/>
      <c r="C23" s="332"/>
      <c r="D23" s="332"/>
      <c r="E23" s="332"/>
      <c r="F23" s="332"/>
      <c r="G23" s="334"/>
      <c r="H23" s="81" t="s">
        <v>172</v>
      </c>
      <c r="I23" s="346"/>
      <c r="J23" s="340"/>
      <c r="K23" s="347"/>
      <c r="L23" s="340"/>
      <c r="M23" s="347"/>
      <c r="N23" s="357"/>
      <c r="O23" s="25">
        <v>3</v>
      </c>
      <c r="P23" s="81" t="s">
        <v>173</v>
      </c>
      <c r="Q23" s="25" t="str">
        <f t="shared" si="0"/>
        <v>Probabilidad</v>
      </c>
      <c r="R23" s="73" t="s">
        <v>128</v>
      </c>
      <c r="S23" s="73" t="s">
        <v>129</v>
      </c>
      <c r="T23" s="26" t="str">
        <f t="shared" si="1"/>
        <v>30%</v>
      </c>
      <c r="U23" s="73" t="s">
        <v>162</v>
      </c>
      <c r="V23" s="73" t="s">
        <v>131</v>
      </c>
      <c r="W23" s="73" t="s">
        <v>132</v>
      </c>
      <c r="X23" s="91" t="s">
        <v>174</v>
      </c>
      <c r="Y23" s="59">
        <f>IFERROR(IF(AND(Q22="Probabilidad",Q23="Probabilidad"),(AA22-(+AA22*T23)),IF(AND(Q22="Impacto",Q23="Probabilidad"),(AA21-(+AA21*T23)),IF(Q23="Impacto",AA22,""))),"")</f>
        <v>0.2016</v>
      </c>
      <c r="Z23" s="58" t="str">
        <f t="shared" si="2"/>
        <v>Baja</v>
      </c>
      <c r="AA23" s="26">
        <f t="shared" si="3"/>
        <v>0.2016</v>
      </c>
      <c r="AB23" s="58" t="str">
        <f t="shared" si="4"/>
        <v>Mayor</v>
      </c>
      <c r="AC23" s="26">
        <f>IFERROR(IF(AND(Q22="Impacto",Q23="Impacto"),(AC22-(+AC22*T23)),IF(AND(Q22="Probabilidad",Q23="Impacto"),(AC21-(+AC21*T23)),IF(Q23="Probabilidad",AC22,""))),"")</f>
        <v>0.75</v>
      </c>
      <c r="AD23" s="340"/>
      <c r="AE23" s="342"/>
      <c r="AF23" s="340"/>
      <c r="AG23" s="342"/>
      <c r="AH23" s="351"/>
      <c r="AI23" s="353"/>
      <c r="AJ23" s="358"/>
      <c r="AK23" s="359"/>
      <c r="AL23" s="355"/>
      <c r="AM23" s="359"/>
      <c r="AN23" s="356"/>
      <c r="AO23" s="349"/>
      <c r="AP23" s="349"/>
      <c r="AQ23" s="349"/>
      <c r="AR23" s="349"/>
      <c r="AS23" s="60"/>
      <c r="AT23" s="60"/>
      <c r="AU23" s="60"/>
      <c r="AV23" s="60"/>
      <c r="AW23" s="60"/>
    </row>
    <row r="24" spans="1:60" ht="130.65" customHeight="1" x14ac:dyDescent="0.25">
      <c r="A24" s="331"/>
      <c r="B24" s="332"/>
      <c r="C24" s="332"/>
      <c r="D24" s="332"/>
      <c r="E24" s="332"/>
      <c r="F24" s="332"/>
      <c r="G24" s="334"/>
      <c r="H24" s="81" t="s">
        <v>175</v>
      </c>
      <c r="I24" s="346"/>
      <c r="J24" s="340"/>
      <c r="K24" s="347"/>
      <c r="L24" s="340"/>
      <c r="M24" s="347"/>
      <c r="N24" s="357"/>
      <c r="O24" s="25">
        <v>4</v>
      </c>
      <c r="P24" s="77" t="s">
        <v>176</v>
      </c>
      <c r="Q24" s="25" t="str">
        <f t="shared" si="0"/>
        <v>Probabilidad</v>
      </c>
      <c r="R24" s="73" t="s">
        <v>137</v>
      </c>
      <c r="S24" s="73" t="s">
        <v>129</v>
      </c>
      <c r="T24" s="26" t="str">
        <f t="shared" si="1"/>
        <v>40%</v>
      </c>
      <c r="U24" s="73" t="s">
        <v>130</v>
      </c>
      <c r="V24" s="73" t="s">
        <v>131</v>
      </c>
      <c r="W24" s="73" t="s">
        <v>132</v>
      </c>
      <c r="X24" s="25" t="s">
        <v>177</v>
      </c>
      <c r="Y24" s="59">
        <f>IFERROR(IF(AND(Q23="Probabilidad",Q24="Probabilidad"),(AA23-(+AA23*T24)),IF(AND(Q23="Impacto",Q24="Probabilidad"),(AA22-(+AA22*T24)),IF(Q24="Impacto",AA23,""))),"")</f>
        <v>0.12096</v>
      </c>
      <c r="Z24" s="58" t="str">
        <f t="shared" si="2"/>
        <v>Muy Baja</v>
      </c>
      <c r="AA24" s="26">
        <f t="shared" si="3"/>
        <v>0.12096</v>
      </c>
      <c r="AB24" s="58" t="str">
        <f t="shared" si="4"/>
        <v>Mayor</v>
      </c>
      <c r="AC24" s="26">
        <f>IFERROR(IF(AND(Q23="Impacto",Q24="Impacto"),(AC23-(+AC23*T24)),IF(AND(Q23="Probabilidad",Q24="Impacto"),(AC22-(+AC22*T24)),IF(Q24="Probabilidad",AC23,""))),"")</f>
        <v>0.75</v>
      </c>
      <c r="AD24" s="340"/>
      <c r="AE24" s="342"/>
      <c r="AF24" s="340"/>
      <c r="AG24" s="342"/>
      <c r="AH24" s="351"/>
      <c r="AI24" s="353"/>
      <c r="AJ24" s="358"/>
      <c r="AK24" s="359"/>
      <c r="AL24" s="355"/>
      <c r="AM24" s="359"/>
      <c r="AN24" s="356"/>
      <c r="AO24" s="349"/>
      <c r="AP24" s="349"/>
      <c r="AQ24" s="349"/>
      <c r="AR24" s="349"/>
      <c r="AS24" s="60"/>
      <c r="AT24" s="60"/>
      <c r="AU24" s="60"/>
      <c r="AV24" s="60"/>
      <c r="AW24" s="60"/>
    </row>
    <row r="25" spans="1:60" ht="160.5" customHeight="1" x14ac:dyDescent="0.25">
      <c r="A25" s="331"/>
      <c r="B25" s="332"/>
      <c r="C25" s="332"/>
      <c r="D25" s="332"/>
      <c r="E25" s="332"/>
      <c r="F25" s="332"/>
      <c r="G25" s="334"/>
      <c r="H25" s="81" t="s">
        <v>178</v>
      </c>
      <c r="I25" s="346"/>
      <c r="J25" s="340"/>
      <c r="K25" s="347"/>
      <c r="L25" s="340"/>
      <c r="M25" s="347"/>
      <c r="N25" s="357"/>
      <c r="O25" s="25">
        <v>5</v>
      </c>
      <c r="P25" s="77" t="s">
        <v>179</v>
      </c>
      <c r="Q25" s="25" t="str">
        <f t="shared" si="0"/>
        <v>Probabilidad</v>
      </c>
      <c r="R25" s="73" t="s">
        <v>128</v>
      </c>
      <c r="S25" s="73" t="s">
        <v>129</v>
      </c>
      <c r="T25" s="26" t="str">
        <f t="shared" si="1"/>
        <v>30%</v>
      </c>
      <c r="U25" s="73" t="s">
        <v>162</v>
      </c>
      <c r="V25" s="73" t="s">
        <v>147</v>
      </c>
      <c r="W25" s="73" t="s">
        <v>132</v>
      </c>
      <c r="X25" s="78" t="s">
        <v>180</v>
      </c>
      <c r="Y25" s="59">
        <f>IFERROR(IF(AND(Q24="Probabilidad",Q25="Probabilidad"),(AA24-(+AA24*T25)),IF(AND(Q24="Impacto",Q25="Probabilidad"),(AA23-(+AA23*T25)),IF(Q25="Impacto",AA24,""))),"")</f>
        <v>8.4671999999999997E-2</v>
      </c>
      <c r="Z25" s="58" t="str">
        <f t="shared" si="2"/>
        <v>Muy Baja</v>
      </c>
      <c r="AA25" s="26">
        <f t="shared" si="3"/>
        <v>8.4671999999999997E-2</v>
      </c>
      <c r="AB25" s="58" t="str">
        <f t="shared" si="4"/>
        <v>Mayor</v>
      </c>
      <c r="AC25" s="26">
        <f>IFERROR(IF(AND(Q24="Impacto",Q25="Impacto"),(AC24-(+AC24*T25)),IF(AND(Q24="Probabilidad",Q25="Impacto"),(AC23-(+AC23*T25)),IF(Q25="Probabilidad",AC24,""))),"")</f>
        <v>0.75</v>
      </c>
      <c r="AD25" s="340"/>
      <c r="AE25" s="342"/>
      <c r="AF25" s="340"/>
      <c r="AG25" s="342"/>
      <c r="AH25" s="351"/>
      <c r="AI25" s="353"/>
      <c r="AJ25" s="358"/>
      <c r="AK25" s="359"/>
      <c r="AL25" s="355"/>
      <c r="AM25" s="359"/>
      <c r="AN25" s="356"/>
      <c r="AO25" s="349"/>
      <c r="AP25" s="349"/>
      <c r="AQ25" s="349"/>
      <c r="AR25" s="349"/>
      <c r="AS25" s="60"/>
      <c r="AT25" s="60"/>
      <c r="AU25" s="60"/>
      <c r="AV25" s="60"/>
      <c r="AW25" s="60"/>
    </row>
    <row r="26" spans="1:60" s="75" customFormat="1" ht="152.4" customHeight="1" x14ac:dyDescent="0.3">
      <c r="A26" s="331" t="s">
        <v>181</v>
      </c>
      <c r="B26" s="332" t="s">
        <v>182</v>
      </c>
      <c r="C26" s="332" t="s">
        <v>117</v>
      </c>
      <c r="D26" s="332" t="s">
        <v>118</v>
      </c>
      <c r="E26" s="332" t="s">
        <v>183</v>
      </c>
      <c r="F26" s="332" t="s">
        <v>184</v>
      </c>
      <c r="G26" s="334" t="s">
        <v>185</v>
      </c>
      <c r="H26" s="81" t="s">
        <v>186</v>
      </c>
      <c r="I26" s="345" t="s">
        <v>123</v>
      </c>
      <c r="J26" s="339" t="s">
        <v>124</v>
      </c>
      <c r="K26" s="347">
        <f>IF(J26="","",IF(J26="Muy Baja",0.2,IF(J26="Baja",0.4,IF(J26="Media",0.6,IF(J26="Alta",0.8,IF(J26="Muy Alta",1,))))))</f>
        <v>0.8</v>
      </c>
      <c r="L26" s="339" t="s">
        <v>145</v>
      </c>
      <c r="M26" s="347">
        <f>IF(L26="","",IF(L26="Leve",0.2,IF(L26="Menor",0.4,IF(L26="Moderado",0.6,IF(L26="Mayor",0.8,IF(L26="Catastrófico",1,))))))</f>
        <v>0.8</v>
      </c>
      <c r="N26" s="357" t="str">
        <f>IF(OR(AND(J26="Muy Baja",L26="Leve"),AND(J26="Muy Baja",L26="Menor"),AND(J26="Baja",L26="Leve")),"Bajo",IF(OR(AND(J26="Muy baja",L26="Moderado"),AND(J26="Baja",L26="Menor"),AND(J26="Baja",L26="Moderado"),AND(J26="Media",L26="Leve"),AND(J26="Media",L26="Menor"),AND(J26="Media",L26="Moderado"),AND(J26="Alta",L26="Leve"),AND(J26="Alta",L26="Menor")),"Moderado",IF(OR(AND(J26="Muy Baja",L26="Mayor"),AND(J26="Baja",L26="Mayor"),AND(J26="Media",L26="Mayor"),AND(J26="Alta",L26="Moderado"),AND(J26="Alta",L26="Mayor"),AND(J26="Muy Alta",L26="Leve"),AND(J26="Muy Alta",L26="Menor"),AND(J26="Muy Alta",L26="Moderado"),AND(J26="Muy Alta",L26="Mayor")),"Alto",IF(OR(AND(J26="Muy Baja",L26="Catastrófico"),AND(J26="Baja",L26="Catastrófico"),AND(J26="Media",L26="Catastrófico"),AND(J26="Alta",L26="Catastrófico"),AND(J26="Muy Alta",L26="Catastrófico")),"Extremo",""))))</f>
        <v>Alto</v>
      </c>
      <c r="O26" s="25">
        <v>1</v>
      </c>
      <c r="P26" s="78" t="s">
        <v>187</v>
      </c>
      <c r="Q26" s="25" t="str">
        <f t="shared" si="0"/>
        <v>Probabilidad</v>
      </c>
      <c r="R26" s="73" t="s">
        <v>137</v>
      </c>
      <c r="S26" s="73" t="s">
        <v>129</v>
      </c>
      <c r="T26" s="26" t="str">
        <f t="shared" si="1"/>
        <v>40%</v>
      </c>
      <c r="U26" s="73" t="s">
        <v>162</v>
      </c>
      <c r="V26" s="73" t="s">
        <v>147</v>
      </c>
      <c r="W26" s="73" t="s">
        <v>132</v>
      </c>
      <c r="X26" s="78" t="s">
        <v>188</v>
      </c>
      <c r="Y26" s="59">
        <f>IFERROR(IF(Q26="Probabilidad",(K26-(+K26*T26)),IF(Q26="Impacto",K26,"")),"")</f>
        <v>0.48</v>
      </c>
      <c r="Z26" s="58" t="str">
        <f t="shared" si="2"/>
        <v>Media</v>
      </c>
      <c r="AA26" s="26">
        <f t="shared" si="3"/>
        <v>0.48</v>
      </c>
      <c r="AB26" s="58" t="str">
        <f t="shared" si="4"/>
        <v>Mayor</v>
      </c>
      <c r="AC26" s="26">
        <f>IFERROR(IF(Q26="Impacto",(M26-(+M26*T26)),IF(Q26="Probabilidad",M26,"")),"")</f>
        <v>0.8</v>
      </c>
      <c r="AD26" s="339" t="str">
        <f>IFERROR(IF(AE26=0,"",IF(AND(AE26&gt;0,AE26&lt;=0.2),"Muy Baja",IF(AE26&lt;=0.4,"Baja",IF(AE26&lt;=0.6,"Media",IF(AE26&lt;=0.8,"Alta","Muy Alta"))))),"")</f>
        <v>Baja</v>
      </c>
      <c r="AE26" s="341">
        <f>MIN(Y26:Y29)</f>
        <v>0.28799999999999998</v>
      </c>
      <c r="AF26" s="339" t="str">
        <f>IFERROR(IF(AG26=0,"",IF(AND(AG26&gt;0,AG26&lt;=0.2),"Leve",IF(AG26&lt;=0.4,"Menor",IF(AG26&lt;=0.6,"Moderado",IF(AG26&lt;=0.8,"Mayor","Catastrófico"))))),"")</f>
        <v>Moderado</v>
      </c>
      <c r="AG26" s="341">
        <f>MIN(AC26:AC29)</f>
        <v>0.45000000000000007</v>
      </c>
      <c r="AH26" s="350" t="str">
        <f>IFERROR(IF(OR(AND(AD26="Muy Baja",AF26="Leve"),AND(AD26="Muy Baja",AF26="Menor"),AND(AD26="Baja",AF26="Leve")),"Bajo",IF(OR(AND(AD26="Muy Baja",AF26="Moderado"),AND(AD26="Baja",AF26="Menor"),AND(AD26="Baja",AF26="Moderado"),AND(AD26="Media",AF26="Leve"),AND(AD26="Media",AF26="Menor"),AND(AD26="Media",AF26="Moderado"),AND(AD26="Alta",AF26="Leve"),AND(AD26="Alta",AF26="Menor")),"Moderado",IF(OR(AND(AD26="Muy Baja",AF26="Mayor"),AND(AD26="Baja",AF26="Mayor"),AND(AD26="Media",AF26="Mayor"),AND(AD26="Alta",AF26="Moderado"),AND(AD26="Alta",AF26="Mayor"),AND(AD26="Muy Alta",AF26="Leve"),AND(AD26="Muy Alta",AF26="Menor"),AND(AD26="Muy Alta",AF26="Moderado"),AND(AD26="Muy Alta",AF26="Mayor")),"Alto",IF(OR(AND(AD26="Muy Baja",AF26="Catastrófico"),AND(AD26="Baja",AF26="Catastrófico"),AND(AD26="Media",AF26="Catastrófico"),AND(AD26="Alta",AF26="Catastrófico"),AND(AD26="Muy Alta",AF26="Catastrófico")),"Extremo","")))),"")</f>
        <v>Moderado</v>
      </c>
      <c r="AI26" s="352" t="s">
        <v>134</v>
      </c>
      <c r="AJ26" s="358"/>
      <c r="AK26" s="366" t="s">
        <v>686</v>
      </c>
      <c r="AL26" s="368" t="s">
        <v>708</v>
      </c>
      <c r="AM26" s="366" t="s">
        <v>741</v>
      </c>
      <c r="AN26" s="361" t="s">
        <v>742</v>
      </c>
      <c r="AO26" s="362" t="s">
        <v>682</v>
      </c>
      <c r="AP26" s="363"/>
      <c r="AQ26" s="362" t="s">
        <v>682</v>
      </c>
      <c r="AR26" s="363"/>
      <c r="AS26" s="74"/>
      <c r="AT26" s="74"/>
      <c r="AU26" s="74"/>
      <c r="AV26" s="74"/>
      <c r="AW26" s="74"/>
      <c r="AX26" s="74"/>
      <c r="AY26" s="74"/>
      <c r="AZ26" s="74"/>
      <c r="BA26" s="74"/>
      <c r="BB26" s="74"/>
      <c r="BC26" s="74"/>
      <c r="BD26" s="74"/>
      <c r="BE26" s="74"/>
      <c r="BF26" s="74"/>
      <c r="BG26" s="74"/>
      <c r="BH26" s="74"/>
    </row>
    <row r="27" spans="1:60" s="75" customFormat="1" ht="64.2" customHeight="1" x14ac:dyDescent="0.3">
      <c r="A27" s="331"/>
      <c r="B27" s="332"/>
      <c r="C27" s="332"/>
      <c r="D27" s="332"/>
      <c r="E27" s="332"/>
      <c r="F27" s="332"/>
      <c r="G27" s="334"/>
      <c r="H27" s="364" t="s">
        <v>189</v>
      </c>
      <c r="I27" s="346"/>
      <c r="J27" s="340"/>
      <c r="K27" s="347"/>
      <c r="L27" s="340"/>
      <c r="M27" s="347"/>
      <c r="N27" s="357"/>
      <c r="O27" s="25" t="s">
        <v>190</v>
      </c>
      <c r="P27" s="81" t="s">
        <v>191</v>
      </c>
      <c r="Q27" s="25" t="str">
        <f t="shared" si="0"/>
        <v>Probabilidad</v>
      </c>
      <c r="R27" s="73" t="s">
        <v>137</v>
      </c>
      <c r="S27" s="73" t="s">
        <v>129</v>
      </c>
      <c r="T27" s="26" t="str">
        <f t="shared" si="1"/>
        <v>40%</v>
      </c>
      <c r="U27" s="73" t="s">
        <v>162</v>
      </c>
      <c r="V27" s="73" t="s">
        <v>147</v>
      </c>
      <c r="W27" s="73" t="s">
        <v>132</v>
      </c>
      <c r="X27" s="25" t="s">
        <v>192</v>
      </c>
      <c r="Y27" s="59">
        <f>IFERROR(IF(AND(Q26="Probabilidad",Q27="Probabilidad"),(AA26-(+AA26*T27)),IF(Q27="Probabilidad",(K26-(+K26*T27)),IF(Q27="Impacto",AA26,""))),"")</f>
        <v>0.28799999999999998</v>
      </c>
      <c r="Z27" s="58" t="str">
        <f t="shared" si="2"/>
        <v>Baja</v>
      </c>
      <c r="AA27" s="26">
        <f t="shared" si="3"/>
        <v>0.28799999999999998</v>
      </c>
      <c r="AB27" s="58" t="str">
        <f t="shared" si="4"/>
        <v>Mayor</v>
      </c>
      <c r="AC27" s="26">
        <f>IFERROR(IF(AND(Q26="Impacto",Q27="Impacto"),(AC26-(+AC26*T27)),IF(Q27="Impacto",(#REF!-(+#REF!*T27)),IF(Q27="Probabilidad",AC26,""))),"")</f>
        <v>0.8</v>
      </c>
      <c r="AD27" s="340"/>
      <c r="AE27" s="342"/>
      <c r="AF27" s="340"/>
      <c r="AG27" s="342"/>
      <c r="AH27" s="351"/>
      <c r="AI27" s="353"/>
      <c r="AJ27" s="358"/>
      <c r="AK27" s="367"/>
      <c r="AL27" s="368"/>
      <c r="AM27" s="367"/>
      <c r="AN27" s="361"/>
      <c r="AO27" s="363"/>
      <c r="AP27" s="363"/>
      <c r="AQ27" s="363"/>
      <c r="AR27" s="363"/>
      <c r="AS27" s="74"/>
      <c r="AT27" s="74"/>
      <c r="AU27" s="74"/>
      <c r="AV27" s="74"/>
      <c r="AW27" s="74"/>
      <c r="AX27" s="74"/>
      <c r="AY27" s="74"/>
      <c r="AZ27" s="74"/>
      <c r="BA27" s="74"/>
      <c r="BB27" s="74"/>
      <c r="BC27" s="74"/>
      <c r="BD27" s="74"/>
      <c r="BE27" s="74"/>
      <c r="BF27" s="74"/>
      <c r="BG27" s="74"/>
      <c r="BH27" s="74"/>
    </row>
    <row r="28" spans="1:60" s="75" customFormat="1" ht="64.2" customHeight="1" x14ac:dyDescent="0.3">
      <c r="A28" s="331"/>
      <c r="B28" s="332"/>
      <c r="C28" s="332"/>
      <c r="D28" s="332"/>
      <c r="E28" s="332"/>
      <c r="F28" s="332"/>
      <c r="G28" s="334"/>
      <c r="H28" s="365"/>
      <c r="I28" s="346"/>
      <c r="J28" s="340"/>
      <c r="K28" s="347"/>
      <c r="L28" s="340"/>
      <c r="M28" s="347"/>
      <c r="N28" s="357"/>
      <c r="O28" s="25" t="s">
        <v>193</v>
      </c>
      <c r="P28" s="81" t="s">
        <v>194</v>
      </c>
      <c r="Q28" s="25" t="str">
        <f t="shared" si="0"/>
        <v>Impacto</v>
      </c>
      <c r="R28" s="73" t="s">
        <v>152</v>
      </c>
      <c r="S28" s="73" t="s">
        <v>129</v>
      </c>
      <c r="T28" s="26" t="str">
        <f t="shared" si="1"/>
        <v>25%</v>
      </c>
      <c r="U28" s="73" t="s">
        <v>130</v>
      </c>
      <c r="V28" s="73" t="s">
        <v>147</v>
      </c>
      <c r="W28" s="73" t="s">
        <v>132</v>
      </c>
      <c r="X28" s="242" t="s">
        <v>195</v>
      </c>
      <c r="Y28" s="59">
        <f>IFERROR(IF(AND(Q27="Probabilidad",Q28="Probabilidad"),(AA27-(+AA27*T28)),IF(AND(Q27="Impacto",Q28="Probabilidad"),(AA26-(+AA26*T28)),IF(Q28="Impacto",AA27,""))),"")</f>
        <v>0.28799999999999998</v>
      </c>
      <c r="Z28" s="58" t="str">
        <f t="shared" si="2"/>
        <v>Baja</v>
      </c>
      <c r="AA28" s="26">
        <f t="shared" si="3"/>
        <v>0.28799999999999998</v>
      </c>
      <c r="AB28" s="58" t="str">
        <f t="shared" si="4"/>
        <v>Moderado</v>
      </c>
      <c r="AC28" s="26">
        <f>IFERROR(IF(AND(Q27="Impacto",Q28="Impacto"),(AC27-(+AC27*T28)),IF(AND(Q27="Probabilidad",Q28="Impacto"),(AC26-(+AC26*T28)),IF(Q28="Probabilidad",AC27,""))),"")</f>
        <v>0.60000000000000009</v>
      </c>
      <c r="AD28" s="340"/>
      <c r="AE28" s="342"/>
      <c r="AF28" s="340"/>
      <c r="AG28" s="342"/>
      <c r="AH28" s="351"/>
      <c r="AI28" s="353"/>
      <c r="AJ28" s="358"/>
      <c r="AK28" s="367"/>
      <c r="AL28" s="368"/>
      <c r="AM28" s="367"/>
      <c r="AN28" s="361"/>
      <c r="AO28" s="363"/>
      <c r="AP28" s="363"/>
      <c r="AQ28" s="363"/>
      <c r="AR28" s="363"/>
      <c r="AS28" s="74"/>
      <c r="AT28" s="74"/>
      <c r="AU28" s="74"/>
      <c r="AV28" s="74"/>
      <c r="AW28" s="74"/>
      <c r="AX28" s="74"/>
      <c r="AY28" s="74"/>
      <c r="AZ28" s="74"/>
      <c r="BA28" s="74"/>
      <c r="BB28" s="74"/>
      <c r="BC28" s="74"/>
      <c r="BD28" s="74"/>
      <c r="BE28" s="74"/>
      <c r="BF28" s="74"/>
      <c r="BG28" s="74"/>
      <c r="BH28" s="74"/>
    </row>
    <row r="29" spans="1:60" s="75" customFormat="1" ht="85.95" customHeight="1" x14ac:dyDescent="0.3">
      <c r="A29" s="331"/>
      <c r="B29" s="332"/>
      <c r="C29" s="332"/>
      <c r="D29" s="332"/>
      <c r="E29" s="332"/>
      <c r="F29" s="332"/>
      <c r="G29" s="334"/>
      <c r="H29" s="81" t="s">
        <v>196</v>
      </c>
      <c r="I29" s="346"/>
      <c r="J29" s="340"/>
      <c r="K29" s="347"/>
      <c r="L29" s="340"/>
      <c r="M29" s="347"/>
      <c r="N29" s="357"/>
      <c r="O29" s="25">
        <v>3</v>
      </c>
      <c r="P29" s="81" t="s">
        <v>197</v>
      </c>
      <c r="Q29" s="25" t="str">
        <f t="shared" si="0"/>
        <v>Impacto</v>
      </c>
      <c r="R29" s="73" t="s">
        <v>152</v>
      </c>
      <c r="S29" s="73" t="s">
        <v>129</v>
      </c>
      <c r="T29" s="26" t="str">
        <f t="shared" si="1"/>
        <v>25%</v>
      </c>
      <c r="U29" s="73" t="s">
        <v>130</v>
      </c>
      <c r="V29" s="73" t="s">
        <v>147</v>
      </c>
      <c r="W29" s="73" t="s">
        <v>132</v>
      </c>
      <c r="X29" s="91" t="s">
        <v>198</v>
      </c>
      <c r="Y29" s="59">
        <f>IFERROR(IF(AND(Q28="Probabilidad",Q29="Probabilidad"),(AA28-(+AA28*T29)),IF(AND(Q28="Impacto",Q29="Probabilidad"),(AA27-(+AA27*T29)),IF(Q29="Impacto",AA28,""))),"")</f>
        <v>0.28799999999999998</v>
      </c>
      <c r="Z29" s="58" t="str">
        <f t="shared" si="2"/>
        <v>Baja</v>
      </c>
      <c r="AA29" s="26">
        <f t="shared" si="3"/>
        <v>0.28799999999999998</v>
      </c>
      <c r="AB29" s="58" t="str">
        <f t="shared" si="4"/>
        <v>Moderado</v>
      </c>
      <c r="AC29" s="26">
        <f>IFERROR(IF(AND(Q28="Impacto",Q29="Impacto"),(AC28-(+AC28*T29)),IF(AND(Q28="Probabilidad",Q29="Impacto"),(AC27-(+AC27*T29)),IF(Q29="Probabilidad",AC28,""))),"")</f>
        <v>0.45000000000000007</v>
      </c>
      <c r="AD29" s="340"/>
      <c r="AE29" s="342"/>
      <c r="AF29" s="340"/>
      <c r="AG29" s="342"/>
      <c r="AH29" s="351"/>
      <c r="AI29" s="353"/>
      <c r="AJ29" s="358"/>
      <c r="AK29" s="367"/>
      <c r="AL29" s="368"/>
      <c r="AM29" s="367"/>
      <c r="AN29" s="361"/>
      <c r="AO29" s="363"/>
      <c r="AP29" s="363"/>
      <c r="AQ29" s="363"/>
      <c r="AR29" s="363"/>
      <c r="AS29" s="74"/>
      <c r="AT29" s="74"/>
      <c r="AU29" s="74"/>
      <c r="AV29" s="74"/>
      <c r="AW29" s="74"/>
      <c r="AX29" s="74"/>
      <c r="AY29" s="74"/>
      <c r="AZ29" s="74"/>
      <c r="BA29" s="74"/>
      <c r="BB29" s="74"/>
      <c r="BC29" s="74"/>
      <c r="BD29" s="74"/>
      <c r="BE29" s="74"/>
      <c r="BF29" s="74"/>
      <c r="BG29" s="74"/>
      <c r="BH29" s="74"/>
    </row>
    <row r="30" spans="1:60" s="75" customFormat="1" ht="121.2" customHeight="1" x14ac:dyDescent="0.3">
      <c r="A30" s="331" t="s">
        <v>199</v>
      </c>
      <c r="B30" s="332" t="s">
        <v>200</v>
      </c>
      <c r="C30" s="332" t="s">
        <v>117</v>
      </c>
      <c r="D30" s="332" t="s">
        <v>201</v>
      </c>
      <c r="E30" s="332" t="s">
        <v>202</v>
      </c>
      <c r="F30" s="332" t="s">
        <v>203</v>
      </c>
      <c r="G30" s="334" t="s">
        <v>204</v>
      </c>
      <c r="H30" s="84" t="s">
        <v>205</v>
      </c>
      <c r="I30" s="345" t="s">
        <v>658</v>
      </c>
      <c r="J30" s="339" t="s">
        <v>206</v>
      </c>
      <c r="K30" s="347">
        <f>IF(J30="","",IF(J30="Muy Baja",0.2,IF(J30="Baja",0.4,IF(J30="Media",0.6,IF(J30="Alta",0.8,IF(J30="Muy Alta",1,))))))</f>
        <v>0.6</v>
      </c>
      <c r="L30" s="339" t="s">
        <v>145</v>
      </c>
      <c r="M30" s="347">
        <f>IF(L30="","",IF(L30="Leve",0.2,IF(L30="Menor",0.4,IF(L30="Moderado",0.6,IF(L30="Mayor",0.8,IF(L30="Catastrófico",1,))))))</f>
        <v>0.8</v>
      </c>
      <c r="N30" s="357" t="str">
        <f>IF(OR(AND(J30="Muy Baja",L30="Leve"),AND(J30="Muy Baja",L30="Menor"),AND(J30="Baja",L30="Leve")),"Bajo",IF(OR(AND(J30="Muy baja",L30="Moderado"),AND(J30="Baja",L30="Menor"),AND(J30="Baja",L30="Moderado"),AND(J30="Media",L30="Leve"),AND(J30="Media",L30="Menor"),AND(J30="Media",L30="Moderado"),AND(J30="Alta",L30="Leve"),AND(J30="Alta",L30="Menor")),"Moderado",IF(OR(AND(J30="Muy Baja",L30="Mayor"),AND(J30="Baja",L30="Mayor"),AND(J30="Media",L30="Mayor"),AND(J30="Alta",L30="Moderado"),AND(J30="Alta",L30="Mayor"),AND(J30="Muy Alta",L30="Leve"),AND(J30="Muy Alta",L30="Menor"),AND(J30="Muy Alta",L30="Moderado"),AND(J30="Muy Alta",L30="Mayor")),"Alto",IF(OR(AND(J30="Muy Baja",L30="Catastrófico"),AND(J30="Baja",L30="Catastrófico"),AND(J30="Media",L30="Catastrófico"),AND(J30="Alta",L30="Catastrófico"),AND(J30="Muy Alta",L30="Catastrófico")),"Extremo",""))))</f>
        <v>Alto</v>
      </c>
      <c r="O30" s="25"/>
      <c r="P30" s="78" t="s">
        <v>207</v>
      </c>
      <c r="Q30" s="25" t="str">
        <f t="shared" si="0"/>
        <v>Probabilidad</v>
      </c>
      <c r="R30" s="73" t="s">
        <v>137</v>
      </c>
      <c r="S30" s="73" t="s">
        <v>129</v>
      </c>
      <c r="T30" s="26" t="str">
        <f t="shared" si="1"/>
        <v>40%</v>
      </c>
      <c r="U30" s="73" t="s">
        <v>162</v>
      </c>
      <c r="V30" s="73" t="s">
        <v>131</v>
      </c>
      <c r="W30" s="73" t="s">
        <v>132</v>
      </c>
      <c r="X30" s="78" t="s">
        <v>208</v>
      </c>
      <c r="Y30" s="59">
        <f>IFERROR(IF(Q30="Probabilidad",(K30-(+K30*T30)),IF(Q30="Impacto",K30,"")),"")</f>
        <v>0.36</v>
      </c>
      <c r="Z30" s="58" t="str">
        <f t="shared" si="2"/>
        <v>Baja</v>
      </c>
      <c r="AA30" s="26">
        <f t="shared" si="3"/>
        <v>0.36</v>
      </c>
      <c r="AB30" s="58" t="str">
        <f t="shared" si="4"/>
        <v>Mayor</v>
      </c>
      <c r="AC30" s="26">
        <f>IFERROR(IF(Q30="Impacto",(M30-(+M30*T30)),IF(Q30="Probabilidad",M30,"")),"")</f>
        <v>0.8</v>
      </c>
      <c r="AD30" s="339" t="str">
        <f>IFERROR(IF(AE30=0,"",IF(AND(AE30&gt;0,AE30&lt;=0.2),"Muy Baja",IF(AE30&lt;=0.4,"Baja",IF(AE30&lt;=0.6,"Media",IF(AE30&lt;=0.8,"Alta","Muy Alta"))))),"")</f>
        <v>Baja</v>
      </c>
      <c r="AE30" s="341">
        <f>MIN(Y30:Y32)</f>
        <v>0.216</v>
      </c>
      <c r="AF30" s="339" t="str">
        <f>IFERROR(IF(AG30=0,"",IF(AND(AG30&gt;0,AG30&lt;=0.2),"Leve",IF(AG30&lt;=0.4,"Menor",IF(AG30&lt;=0.6,"Moderado",IF(AG30&lt;=0.8,"Mayor","Catastrófico"))))),"")</f>
        <v>Moderado</v>
      </c>
      <c r="AG30" s="341">
        <f>MIN(AC30:AC32)</f>
        <v>0.60000000000000009</v>
      </c>
      <c r="AH30" s="350" t="str">
        <f>IFERROR(IF(OR(AND(AD30="Muy Baja",AF30="Leve"),AND(AD30="Muy Baja",AF30="Menor"),AND(AD30="Baja",AF30="Leve")),"Bajo",IF(OR(AND(AD30="Muy Baja",AF30="Moderado"),AND(AD30="Baja",AF30="Menor"),AND(AD30="Baja",AF30="Moderado"),AND(AD30="Media",AF30="Leve"),AND(AD30="Media",AF30="Menor"),AND(AD30="Media",AF30="Moderado"),AND(AD30="Alta",AF30="Leve"),AND(AD30="Alta",AF30="Menor")),"Moderado",IF(OR(AND(AD30="Muy Baja",AF30="Mayor"),AND(AD30="Baja",AF30="Mayor"),AND(AD30="Media",AF30="Mayor"),AND(AD30="Alta",AF30="Moderado"),AND(AD30="Alta",AF30="Mayor"),AND(AD30="Muy Alta",AF30="Leve"),AND(AD30="Muy Alta",AF30="Menor"),AND(AD30="Muy Alta",AF30="Moderado"),AND(AD30="Muy Alta",AF30="Mayor")),"Alto",IF(OR(AND(AD30="Muy Baja",AF30="Catastrófico"),AND(AD30="Baja",AF30="Catastrófico"),AND(AD30="Media",AF30="Catastrófico"),AND(AD30="Alta",AF30="Catastrófico"),AND(AD30="Muy Alta",AF30="Catastrófico")),"Extremo","")))),"")</f>
        <v>Moderado</v>
      </c>
      <c r="AI30" s="352" t="s">
        <v>134</v>
      </c>
      <c r="AJ30" s="358"/>
      <c r="AK30" s="366" t="s">
        <v>687</v>
      </c>
      <c r="AL30" s="368" t="s">
        <v>708</v>
      </c>
      <c r="AM30" s="366" t="s">
        <v>687</v>
      </c>
      <c r="AN30" s="361" t="s">
        <v>759</v>
      </c>
      <c r="AO30" s="362" t="s">
        <v>682</v>
      </c>
      <c r="AP30" s="363"/>
      <c r="AQ30" s="362" t="s">
        <v>682</v>
      </c>
      <c r="AR30" s="363"/>
      <c r="AS30" s="74"/>
      <c r="AT30" s="74"/>
      <c r="AU30" s="74"/>
      <c r="AV30" s="74"/>
      <c r="AW30" s="74"/>
      <c r="AX30" s="74"/>
      <c r="AY30" s="74"/>
      <c r="AZ30" s="74"/>
      <c r="BA30" s="74"/>
      <c r="BB30" s="74"/>
      <c r="BC30" s="74"/>
      <c r="BD30" s="74"/>
      <c r="BE30" s="74"/>
      <c r="BF30" s="74"/>
      <c r="BG30" s="74"/>
      <c r="BH30" s="74"/>
    </row>
    <row r="31" spans="1:60" s="75" customFormat="1" ht="100.2" customHeight="1" x14ac:dyDescent="0.3">
      <c r="A31" s="331"/>
      <c r="B31" s="332"/>
      <c r="C31" s="332"/>
      <c r="D31" s="332"/>
      <c r="E31" s="332"/>
      <c r="F31" s="332"/>
      <c r="G31" s="334"/>
      <c r="H31" s="100" t="s">
        <v>209</v>
      </c>
      <c r="I31" s="346"/>
      <c r="J31" s="340"/>
      <c r="K31" s="347"/>
      <c r="L31" s="340"/>
      <c r="M31" s="347"/>
      <c r="N31" s="357"/>
      <c r="O31" s="25"/>
      <c r="P31" s="81" t="s">
        <v>210</v>
      </c>
      <c r="Q31" s="25" t="str">
        <f t="shared" si="0"/>
        <v>Probabilidad</v>
      </c>
      <c r="R31" s="73" t="s">
        <v>137</v>
      </c>
      <c r="S31" s="73" t="s">
        <v>129</v>
      </c>
      <c r="T31" s="26" t="str">
        <f t="shared" si="1"/>
        <v>40%</v>
      </c>
      <c r="U31" s="73" t="s">
        <v>162</v>
      </c>
      <c r="V31" s="73" t="s">
        <v>131</v>
      </c>
      <c r="W31" s="73" t="s">
        <v>132</v>
      </c>
      <c r="X31" s="78" t="s">
        <v>211</v>
      </c>
      <c r="Y31" s="59">
        <f>IFERROR(IF(AND(Q30="Probabilidad",Q31="Probabilidad"),(AA30-(+AA30*T31)),IF(Q31="Probabilidad",(K30-(+K30*T31)),IF(Q31="Impacto",AA30,""))),"")</f>
        <v>0.216</v>
      </c>
      <c r="Z31" s="58" t="str">
        <f t="shared" si="2"/>
        <v>Baja</v>
      </c>
      <c r="AA31" s="26">
        <f t="shared" si="3"/>
        <v>0.216</v>
      </c>
      <c r="AB31" s="58" t="str">
        <f t="shared" si="4"/>
        <v>Mayor</v>
      </c>
      <c r="AC31" s="26">
        <f>IFERROR(IF(AND(Q30="Impacto",Q31="Impacto"),(AC30-(+AC30*T31)),IF(Q31="Impacto",(#REF!-(+#REF!*T31)),IF(Q31="Probabilidad",AC30,""))),"")</f>
        <v>0.8</v>
      </c>
      <c r="AD31" s="340"/>
      <c r="AE31" s="342"/>
      <c r="AF31" s="340"/>
      <c r="AG31" s="342"/>
      <c r="AH31" s="351"/>
      <c r="AI31" s="353"/>
      <c r="AJ31" s="358"/>
      <c r="AK31" s="367"/>
      <c r="AL31" s="368"/>
      <c r="AM31" s="367"/>
      <c r="AN31" s="361"/>
      <c r="AO31" s="363"/>
      <c r="AP31" s="363"/>
      <c r="AQ31" s="363"/>
      <c r="AR31" s="363"/>
      <c r="AS31" s="74"/>
      <c r="AT31" s="74"/>
      <c r="AU31" s="74"/>
      <c r="AV31" s="74"/>
      <c r="AW31" s="74"/>
      <c r="AX31" s="74"/>
      <c r="AY31" s="74"/>
      <c r="AZ31" s="74"/>
      <c r="BA31" s="74"/>
      <c r="BB31" s="74"/>
      <c r="BC31" s="74"/>
      <c r="BD31" s="74"/>
      <c r="BE31" s="74"/>
      <c r="BF31" s="74"/>
      <c r="BG31" s="74"/>
      <c r="BH31" s="74"/>
    </row>
    <row r="32" spans="1:60" s="75" customFormat="1" ht="97.95" customHeight="1" x14ac:dyDescent="0.3">
      <c r="A32" s="331"/>
      <c r="B32" s="332"/>
      <c r="C32" s="332"/>
      <c r="D32" s="332"/>
      <c r="E32" s="332"/>
      <c r="F32" s="332"/>
      <c r="G32" s="334"/>
      <c r="H32" s="81"/>
      <c r="I32" s="346"/>
      <c r="J32" s="340"/>
      <c r="K32" s="347"/>
      <c r="L32" s="340"/>
      <c r="M32" s="347"/>
      <c r="N32" s="357"/>
      <c r="O32" s="25"/>
      <c r="P32" s="81" t="s">
        <v>212</v>
      </c>
      <c r="Q32" s="25" t="str">
        <f t="shared" si="0"/>
        <v>Impacto</v>
      </c>
      <c r="R32" s="73" t="s">
        <v>152</v>
      </c>
      <c r="S32" s="73" t="s">
        <v>129</v>
      </c>
      <c r="T32" s="26" t="str">
        <f t="shared" si="1"/>
        <v>25%</v>
      </c>
      <c r="U32" s="73" t="s">
        <v>130</v>
      </c>
      <c r="V32" s="73" t="s">
        <v>147</v>
      </c>
      <c r="W32" s="73" t="s">
        <v>132</v>
      </c>
      <c r="X32" s="76" t="s">
        <v>213</v>
      </c>
      <c r="Y32" s="59">
        <f>IFERROR(IF(AND(Q31="Probabilidad",Q32="Probabilidad"),(AA31-(+AA31*T32)),IF(AND(Q31="Impacto",Q32="Probabilidad"),(AA30-(+AA30*T32)),IF(Q32="Impacto",AA31,""))),"")</f>
        <v>0.216</v>
      </c>
      <c r="Z32" s="58" t="str">
        <f t="shared" si="2"/>
        <v>Baja</v>
      </c>
      <c r="AA32" s="26">
        <f t="shared" si="3"/>
        <v>0.216</v>
      </c>
      <c r="AB32" s="58" t="str">
        <f t="shared" si="4"/>
        <v>Moderado</v>
      </c>
      <c r="AC32" s="26">
        <f>IFERROR(IF(AND(Q31="Impacto",Q32="Impacto"),(AC31-(+AC31*T32)),IF(AND(Q31="Probabilidad",Q32="Impacto"),(AC30-(+AC30*T32)),IF(Q32="Probabilidad",AC31,""))),"")</f>
        <v>0.60000000000000009</v>
      </c>
      <c r="AD32" s="340"/>
      <c r="AE32" s="342"/>
      <c r="AF32" s="340"/>
      <c r="AG32" s="342"/>
      <c r="AH32" s="351"/>
      <c r="AI32" s="353"/>
      <c r="AJ32" s="358"/>
      <c r="AK32" s="367"/>
      <c r="AL32" s="368"/>
      <c r="AM32" s="367"/>
      <c r="AN32" s="361"/>
      <c r="AO32" s="363"/>
      <c r="AP32" s="363"/>
      <c r="AQ32" s="363"/>
      <c r="AR32" s="363"/>
      <c r="AS32" s="74"/>
      <c r="AT32" s="74"/>
      <c r="AU32" s="74"/>
      <c r="AV32" s="74"/>
      <c r="AW32" s="74"/>
      <c r="AX32" s="74"/>
      <c r="AY32" s="74"/>
      <c r="AZ32" s="74"/>
      <c r="BA32" s="74"/>
      <c r="BB32" s="74"/>
      <c r="BC32" s="74"/>
      <c r="BD32" s="74"/>
      <c r="BE32" s="74"/>
      <c r="BF32" s="74"/>
      <c r="BG32" s="74"/>
      <c r="BH32" s="74"/>
    </row>
    <row r="33" spans="1:60" s="75" customFormat="1" ht="148.94999999999999" customHeight="1" x14ac:dyDescent="0.3">
      <c r="A33" s="331" t="s">
        <v>214</v>
      </c>
      <c r="B33" s="332" t="s">
        <v>215</v>
      </c>
      <c r="C33" s="332" t="s">
        <v>117</v>
      </c>
      <c r="D33" s="332" t="s">
        <v>216</v>
      </c>
      <c r="E33" s="332" t="s">
        <v>217</v>
      </c>
      <c r="F33" s="332" t="s">
        <v>218</v>
      </c>
      <c r="G33" s="334" t="s">
        <v>219</v>
      </c>
      <c r="H33" s="81" t="s">
        <v>220</v>
      </c>
      <c r="I33" s="345" t="s">
        <v>658</v>
      </c>
      <c r="J33" s="339" t="s">
        <v>206</v>
      </c>
      <c r="K33" s="347">
        <f>IF(J33="","",IF(J33="Muy Baja",0.2,IF(J33="Baja",0.4,IF(J33="Media",0.6,IF(J33="Alta",0.8,IF(J33="Muy Alta",1,))))))</f>
        <v>0.6</v>
      </c>
      <c r="L33" s="339" t="s">
        <v>160</v>
      </c>
      <c r="M33" s="347">
        <f>IF(L33="","",IF(L33="Leve",0.2,IF(L33="Menor",0.4,IF(L33="Moderado",0.6,IF(L33="Mayor",0.8,IF(L33="Catastrófico",1,))))))</f>
        <v>1</v>
      </c>
      <c r="N33" s="357" t="str">
        <f>IF(OR(AND(J33="Muy Baja",L33="Leve"),AND(J33="Muy Baja",L33="Menor"),AND(J33="Baja",L33="Leve")),"Bajo",IF(OR(AND(J33="Muy baja",L33="Moderado"),AND(J33="Baja",L33="Menor"),AND(J33="Baja",L33="Moderado"),AND(J33="Media",L33="Leve"),AND(J33="Media",L33="Menor"),AND(J33="Media",L33="Moderado"),AND(J33="Alta",L33="Leve"),AND(J33="Alta",L33="Menor")),"Moderado",IF(OR(AND(J33="Muy Baja",L33="Mayor"),AND(J33="Baja",L33="Mayor"),AND(J33="Media",L33="Mayor"),AND(J33="Alta",L33="Moderado"),AND(J33="Alta",L33="Mayor"),AND(J33="Muy Alta",L33="Leve"),AND(J33="Muy Alta",L33="Menor"),AND(J33="Muy Alta",L33="Moderado"),AND(J33="Muy Alta",L33="Mayor")),"Alto",IF(OR(AND(J33="Muy Baja",L33="Catastrófico"),AND(J33="Baja",L33="Catastrófico"),AND(J33="Media",L33="Catastrófico"),AND(J33="Alta",L33="Catastrófico"),AND(J33="Muy Alta",L33="Catastrófico")),"Extremo",""))))</f>
        <v>Extremo</v>
      </c>
      <c r="O33" s="25">
        <v>1</v>
      </c>
      <c r="P33" s="99" t="s">
        <v>221</v>
      </c>
      <c r="Q33" s="25" t="str">
        <f t="shared" si="0"/>
        <v>Impacto</v>
      </c>
      <c r="R33" s="73" t="s">
        <v>152</v>
      </c>
      <c r="S33" s="73" t="s">
        <v>129</v>
      </c>
      <c r="T33" s="26" t="str">
        <f t="shared" si="1"/>
        <v>25%</v>
      </c>
      <c r="U33" s="73" t="s">
        <v>130</v>
      </c>
      <c r="V33" s="73" t="s">
        <v>147</v>
      </c>
      <c r="W33" s="73" t="s">
        <v>132</v>
      </c>
      <c r="X33" s="78" t="s">
        <v>222</v>
      </c>
      <c r="Y33" s="59">
        <f>IFERROR(IF(Q33="Probabilidad",(K33-(+K33*T33)),IF(Q33="Impacto",K33,"")),"")</f>
        <v>0.6</v>
      </c>
      <c r="Z33" s="58" t="str">
        <f t="shared" si="2"/>
        <v>Media</v>
      </c>
      <c r="AA33" s="26">
        <f t="shared" si="3"/>
        <v>0.6</v>
      </c>
      <c r="AB33" s="58" t="str">
        <f t="shared" si="4"/>
        <v>Mayor</v>
      </c>
      <c r="AC33" s="26">
        <f>IFERROR(IF(Q33="Impacto",(M33-(+M33*T33)),IF(Q33="Probabilidad",M33,"")),"")</f>
        <v>0.75</v>
      </c>
      <c r="AD33" s="339" t="str">
        <f>IFERROR(IF(AE33=0,"",IF(AND(AE33&gt;0,AE33&lt;=0.2),"Muy Baja",IF(AE33&lt;=0.4,"Baja",IF(AE33&lt;=0.6,"Media",IF(AE33&lt;=0.8,"Alta","Muy Alta"))))),"")</f>
        <v>Media</v>
      </c>
      <c r="AE33" s="341">
        <f>MIN(Y33:Y34)</f>
        <v>0.6</v>
      </c>
      <c r="AF33" s="339" t="str">
        <f>IFERROR(IF(AG33=0,"",IF(AND(AG33&gt;0,AG33&lt;=0.2),"Leve",IF(AG33&lt;=0.4,"Menor",IF(AG33&lt;=0.6,"Moderado",IF(AG33&lt;=0.8,"Mayor","Catastrófico"))))),"")</f>
        <v>Moderado</v>
      </c>
      <c r="AG33" s="341">
        <f>MIN(AC33:AC34)</f>
        <v>0.5625</v>
      </c>
      <c r="AH33" s="350" t="str">
        <f>IFERROR(IF(OR(AND(AD33="Muy Baja",AF33="Leve"),AND(AD33="Muy Baja",AF33="Menor"),AND(AD33="Baja",AF33="Leve")),"Bajo",IF(OR(AND(AD33="Muy Baja",AF33="Moderado"),AND(AD33="Baja",AF33="Menor"),AND(AD33="Baja",AF33="Moderado"),AND(AD33="Media",AF33="Leve"),AND(AD33="Media",AF33="Menor"),AND(AD33="Media",AF33="Moderado"),AND(AD33="Alta",AF33="Leve"),AND(AD33="Alta",AF33="Menor")),"Moderado",IF(OR(AND(AD33="Muy Baja",AF33="Mayor"),AND(AD33="Baja",AF33="Mayor"),AND(AD33="Media",AF33="Mayor"),AND(AD33="Alta",AF33="Moderado"),AND(AD33="Alta",AF33="Mayor"),AND(AD33="Muy Alta",AF33="Leve"),AND(AD33="Muy Alta",AF33="Menor"),AND(AD33="Muy Alta",AF33="Moderado"),AND(AD33="Muy Alta",AF33="Mayor")),"Alto",IF(OR(AND(AD33="Muy Baja",AF33="Catastrófico"),AND(AD33="Baja",AF33="Catastrófico"),AND(AD33="Media",AF33="Catastrófico"),AND(AD33="Alta",AF33="Catastrófico"),AND(AD33="Muy Alta",AF33="Catastrófico")),"Extremo","")))),"")</f>
        <v>Moderado</v>
      </c>
      <c r="AI33" s="352" t="s">
        <v>134</v>
      </c>
      <c r="AJ33" s="358"/>
      <c r="AK33" s="367" t="s">
        <v>688</v>
      </c>
      <c r="AL33" s="368" t="s">
        <v>708</v>
      </c>
      <c r="AM33" s="369" t="s">
        <v>688</v>
      </c>
      <c r="AN33" s="361" t="s">
        <v>760</v>
      </c>
      <c r="AO33" s="363" t="s">
        <v>682</v>
      </c>
      <c r="AP33" s="363"/>
      <c r="AQ33" s="363" t="s">
        <v>682</v>
      </c>
      <c r="AR33" s="363"/>
      <c r="AS33" s="74"/>
      <c r="AT33" s="74"/>
      <c r="AU33" s="74"/>
      <c r="AV33" s="74"/>
      <c r="AW33" s="74"/>
      <c r="AX33" s="74"/>
      <c r="AY33" s="74"/>
      <c r="AZ33" s="74"/>
      <c r="BA33" s="74"/>
      <c r="BB33" s="74"/>
      <c r="BC33" s="74"/>
      <c r="BD33" s="74"/>
      <c r="BE33" s="74"/>
      <c r="BF33" s="74"/>
      <c r="BG33" s="74"/>
      <c r="BH33" s="74"/>
    </row>
    <row r="34" spans="1:60" s="75" customFormat="1" ht="183" customHeight="1" x14ac:dyDescent="0.3">
      <c r="A34" s="331"/>
      <c r="B34" s="332"/>
      <c r="C34" s="332"/>
      <c r="D34" s="332"/>
      <c r="E34" s="332"/>
      <c r="F34" s="332"/>
      <c r="G34" s="334"/>
      <c r="H34" s="81" t="s">
        <v>223</v>
      </c>
      <c r="I34" s="346"/>
      <c r="J34" s="340"/>
      <c r="K34" s="347"/>
      <c r="L34" s="340"/>
      <c r="M34" s="347"/>
      <c r="N34" s="357"/>
      <c r="O34" s="25">
        <v>2</v>
      </c>
      <c r="P34" s="81" t="s">
        <v>224</v>
      </c>
      <c r="Q34" s="25" t="str">
        <f t="shared" si="0"/>
        <v>Impacto</v>
      </c>
      <c r="R34" s="73" t="s">
        <v>152</v>
      </c>
      <c r="S34" s="73" t="s">
        <v>129</v>
      </c>
      <c r="T34" s="26" t="str">
        <f t="shared" si="1"/>
        <v>25%</v>
      </c>
      <c r="U34" s="73" t="s">
        <v>130</v>
      </c>
      <c r="V34" s="73" t="s">
        <v>147</v>
      </c>
      <c r="W34" s="73" t="s">
        <v>132</v>
      </c>
      <c r="X34" s="76" t="s">
        <v>225</v>
      </c>
      <c r="Y34" s="59">
        <f>IFERROR(IF(AND(Q33="Probabilidad",Q34="Probabilidad"),(AA33-(+AA33*T34)),IF(Q34="Probabilidad",(K33-(+K33*T34)),IF(Q34="Impacto",AA33,""))),"")</f>
        <v>0.6</v>
      </c>
      <c r="Z34" s="58" t="str">
        <f t="shared" si="2"/>
        <v>Media</v>
      </c>
      <c r="AA34" s="26">
        <f t="shared" si="3"/>
        <v>0.6</v>
      </c>
      <c r="AB34" s="58" t="str">
        <f t="shared" si="4"/>
        <v>Moderado</v>
      </c>
      <c r="AC34" s="26">
        <f>IFERROR(IF(AND(Q33="Impacto",Q34="Impacto"),(AC33-(+AC33*T34)),IF(Q34="Impacto",(#REF!-(+#REF!*T34)),IF(Q34="Probabilidad",AC33,""))),"")</f>
        <v>0.5625</v>
      </c>
      <c r="AD34" s="340"/>
      <c r="AE34" s="342"/>
      <c r="AF34" s="340"/>
      <c r="AG34" s="342"/>
      <c r="AH34" s="351"/>
      <c r="AI34" s="353"/>
      <c r="AJ34" s="358"/>
      <c r="AK34" s="367"/>
      <c r="AL34" s="368"/>
      <c r="AM34" s="369"/>
      <c r="AN34" s="361"/>
      <c r="AO34" s="363"/>
      <c r="AP34" s="363"/>
      <c r="AQ34" s="363"/>
      <c r="AR34" s="363"/>
      <c r="AS34" s="74"/>
      <c r="AT34" s="74"/>
      <c r="AU34" s="74"/>
      <c r="AV34" s="74"/>
      <c r="AW34" s="74"/>
      <c r="AX34" s="74"/>
      <c r="AY34" s="74"/>
      <c r="AZ34" s="74"/>
      <c r="BA34" s="74"/>
      <c r="BB34" s="74"/>
      <c r="BC34" s="74"/>
      <c r="BD34" s="74"/>
      <c r="BE34" s="74"/>
      <c r="BF34" s="74"/>
      <c r="BG34" s="74"/>
      <c r="BH34" s="74"/>
    </row>
    <row r="35" spans="1:60" ht="114" customHeight="1" x14ac:dyDescent="0.25">
      <c r="A35" s="331" t="s">
        <v>227</v>
      </c>
      <c r="B35" s="332" t="s">
        <v>625</v>
      </c>
      <c r="C35" s="333" t="s">
        <v>228</v>
      </c>
      <c r="D35" s="334" t="s">
        <v>229</v>
      </c>
      <c r="E35" s="334" t="s">
        <v>230</v>
      </c>
      <c r="F35" s="334" t="s">
        <v>231</v>
      </c>
      <c r="G35" s="334" t="s">
        <v>232</v>
      </c>
      <c r="H35" s="343" t="s">
        <v>233</v>
      </c>
      <c r="I35" s="345" t="s">
        <v>659</v>
      </c>
      <c r="J35" s="339" t="s">
        <v>124</v>
      </c>
      <c r="K35" s="347">
        <f>IF(J35="","",IF(J35="Muy Baja",0.2,IF(J35="Baja",0.4,IF(J35="Media",0.6,IF(J35="Alta",0.8,IF(J35="Muy Alta",1,))))))</f>
        <v>0.8</v>
      </c>
      <c r="L35" s="339" t="s">
        <v>145</v>
      </c>
      <c r="M35" s="347">
        <f>IF(L35="","",IF(L35="Leve",0.2,IF(L35="Menor",0.4,IF(L35="Moderado",0.6,IF(L35="Mayor",0.8,IF(L35="Catastrófico",1,))))))</f>
        <v>0.8</v>
      </c>
      <c r="N35" s="357" t="str">
        <f>IF(OR(AND(J35="Muy Baja",L35="Leve"),AND(J35="Muy Baja",L35="Menor"),AND(J35="Baja",L35="Leve")),"Bajo",IF(OR(AND(J35="Muy baja",L35="Moderado"),AND(J35="Baja",L35="Menor"),AND(J35="Baja",L35="Moderado"),AND(J35="Media",L35="Leve"),AND(J35="Media",L35="Menor"),AND(J35="Media",L35="Moderado"),AND(J35="Alta",L35="Leve"),AND(J35="Alta",L35="Menor")),"Moderado",IF(OR(AND(J35="Muy Baja",L35="Mayor"),AND(J35="Baja",L35="Mayor"),AND(J35="Media",L35="Mayor"),AND(J35="Alta",L35="Moderado"),AND(J35="Alta",L35="Mayor"),AND(J35="Muy Alta",L35="Leve"),AND(J35="Muy Alta",L35="Menor"),AND(J35="Muy Alta",L35="Moderado"),AND(J35="Muy Alta",L35="Mayor")),"Alto",IF(OR(AND(J35="Muy Baja",L35="Catastrófico"),AND(J35="Baja",L35="Catastrófico"),AND(J35="Media",L35="Catastrófico"),AND(J35="Alta",L35="Catastrófico"),AND(J35="Muy Alta",L35="Catastrófico")),"Extremo",""))))</f>
        <v>Alto</v>
      </c>
      <c r="O35" s="25">
        <v>0</v>
      </c>
      <c r="P35" s="81" t="s">
        <v>628</v>
      </c>
      <c r="Q35" s="25" t="str">
        <f t="shared" si="0"/>
        <v>Probabilidad</v>
      </c>
      <c r="R35" s="73" t="s">
        <v>128</v>
      </c>
      <c r="S35" s="73" t="s">
        <v>129</v>
      </c>
      <c r="T35" s="26" t="str">
        <f t="shared" si="1"/>
        <v>30%</v>
      </c>
      <c r="U35" s="73" t="s">
        <v>162</v>
      </c>
      <c r="V35" s="73" t="s">
        <v>147</v>
      </c>
      <c r="W35" s="73" t="s">
        <v>132</v>
      </c>
      <c r="X35" s="81" t="s">
        <v>234</v>
      </c>
      <c r="Y35" s="59">
        <f>IFERROR(IF(Q35="Probabilidad",(K35-(+K35*T35)),IF(Q35="Impacto",K35,"")),"")</f>
        <v>0.56000000000000005</v>
      </c>
      <c r="Z35" s="58" t="str">
        <f t="shared" si="2"/>
        <v>Media</v>
      </c>
      <c r="AA35" s="26">
        <f t="shared" si="3"/>
        <v>0.56000000000000005</v>
      </c>
      <c r="AB35" s="58" t="str">
        <f t="shared" si="4"/>
        <v>Mayor</v>
      </c>
      <c r="AC35" s="26">
        <f>IFERROR(IF(Q35="Impacto",(M35-(+M35*T35)),IF(Q35="Probabilidad",M35,"")),"")</f>
        <v>0.8</v>
      </c>
      <c r="AD35" s="339" t="str">
        <f>IFERROR(IF(AE35=0,"",IF(AND(AE35&gt;0,AE35&lt;=0.2),"Muy Baja",IF(AE35&lt;=0.4,"Baja",IF(AE35&lt;=0.6,"Media",IF(AE35&lt;=0.8,"Alta","Muy Alta"))))),"")</f>
        <v>Muy Baja</v>
      </c>
      <c r="AE35" s="341">
        <f>MIN(Y35:Y43)</f>
        <v>0.16464000000000001</v>
      </c>
      <c r="AF35" s="339" t="str">
        <f>IFERROR(IF(AG35=0,"",IF(AND(AG35&gt;0,AG35&lt;=0.2),"Leve",IF(AG35&lt;=0.4,"Menor",IF(AG35&lt;=0.6,"Moderado",IF(AG35&lt;=0.8,"Mayor","Catastrófico"))))),"")</f>
        <v>Moderado</v>
      </c>
      <c r="AG35" s="341">
        <f>MIN(AC35:AC43)</f>
        <v>0.45000000000000007</v>
      </c>
      <c r="AH35" s="350" t="str">
        <f>IFERROR(IF(OR(AND(AD35="Muy Baja",AF35="Leve"),AND(AD35="Muy Baja",AF35="Menor"),AND(AD35="Baja",AF35="Leve")),"Bajo",IF(OR(AND(AD35="Muy Baja",AF35="Moderado"),AND(AD35="Baja",AF35="Menor"),AND(AD35="Baja",AF35="Moderado"),AND(AD35="Media",AF35="Leve"),AND(AD35="Media",AF35="Menor"),AND(AD35="Media",AF35="Moderado"),AND(AD35="Alta",AF35="Leve"),AND(AD35="Alta",AF35="Menor")),"Moderado",IF(OR(AND(AD35="Muy Baja",AF35="Mayor"),AND(AD35="Baja",AF35="Mayor"),AND(AD35="Media",AF35="Mayor"),AND(AD35="Alta",AF35="Moderado"),AND(AD35="Alta",AF35="Mayor"),AND(AD35="Muy Alta",AF35="Leve"),AND(AD35="Muy Alta",AF35="Menor"),AND(AD35="Muy Alta",AF35="Moderado"),AND(AD35="Muy Alta",AF35="Mayor")),"Alto",IF(OR(AND(AD35="Muy Baja",AF35="Catastrófico"),AND(AD35="Baja",AF35="Catastrófico"),AND(AD35="Media",AF35="Catastrófico"),AND(AD35="Alta",AF35="Catastrófico"),AND(AD35="Muy Alta",AF35="Catastrófico")),"Extremo","")))),"")</f>
        <v>Moderado</v>
      </c>
      <c r="AI35" s="352" t="s">
        <v>134</v>
      </c>
      <c r="AJ35" s="376"/>
      <c r="AK35" s="379" t="s">
        <v>706</v>
      </c>
      <c r="AL35" s="382" t="s">
        <v>708</v>
      </c>
      <c r="AM35" s="385" t="s">
        <v>743</v>
      </c>
      <c r="AN35" s="370" t="s">
        <v>745</v>
      </c>
      <c r="AO35" s="373" t="s">
        <v>682</v>
      </c>
      <c r="AP35" s="373"/>
      <c r="AQ35" s="373" t="s">
        <v>682</v>
      </c>
      <c r="AR35" s="373"/>
      <c r="AS35" s="60"/>
      <c r="AT35" s="60"/>
      <c r="AU35" s="60"/>
      <c r="AV35" s="60"/>
      <c r="AW35" s="60"/>
    </row>
    <row r="36" spans="1:60" ht="98.4" customHeight="1" x14ac:dyDescent="0.25">
      <c r="A36" s="331"/>
      <c r="B36" s="332"/>
      <c r="C36" s="333"/>
      <c r="D36" s="334"/>
      <c r="E36" s="334"/>
      <c r="F36" s="334"/>
      <c r="G36" s="334"/>
      <c r="H36" s="344"/>
      <c r="I36" s="346"/>
      <c r="J36" s="340"/>
      <c r="K36" s="347"/>
      <c r="L36" s="340"/>
      <c r="M36" s="347"/>
      <c r="N36" s="357"/>
      <c r="O36" s="25">
        <v>1</v>
      </c>
      <c r="P36" s="81" t="s">
        <v>235</v>
      </c>
      <c r="Q36" s="25" t="str">
        <f t="shared" si="0"/>
        <v>Probabilidad</v>
      </c>
      <c r="R36" s="73" t="s">
        <v>137</v>
      </c>
      <c r="S36" s="73" t="s">
        <v>129</v>
      </c>
      <c r="T36" s="26" t="str">
        <f t="shared" si="1"/>
        <v>40%</v>
      </c>
      <c r="U36" s="73" t="s">
        <v>162</v>
      </c>
      <c r="V36" s="73" t="s">
        <v>131</v>
      </c>
      <c r="W36" s="73" t="s">
        <v>132</v>
      </c>
      <c r="X36" s="81" t="s">
        <v>236</v>
      </c>
      <c r="Y36" s="59">
        <f>IFERROR(IF(AND(Q35="Probabilidad",Q36="Probabilidad"),(AA35-(+AA35*T36)),IF(Q36="Probabilidad",(K35-(+K35*T36)),IF(Q36="Impacto",AA35,""))),"")</f>
        <v>0.33600000000000002</v>
      </c>
      <c r="Z36" s="58" t="str">
        <f t="shared" si="2"/>
        <v>Baja</v>
      </c>
      <c r="AA36" s="26">
        <f t="shared" si="3"/>
        <v>0.33600000000000002</v>
      </c>
      <c r="AB36" s="58" t="str">
        <f t="shared" si="4"/>
        <v>Mayor</v>
      </c>
      <c r="AC36" s="26">
        <f>IFERROR(IF(AND(Q35="Impacto",Q36="Impacto"),(AC35-(+AC35*T36)),IF(Q36="Impacto",(#REF!-(+#REF!*T36)),IF(Q36="Probabilidad",AC35,""))),"")</f>
        <v>0.8</v>
      </c>
      <c r="AD36" s="340"/>
      <c r="AE36" s="342"/>
      <c r="AF36" s="340"/>
      <c r="AG36" s="342"/>
      <c r="AH36" s="351"/>
      <c r="AI36" s="353"/>
      <c r="AJ36" s="377"/>
      <c r="AK36" s="380"/>
      <c r="AL36" s="383"/>
      <c r="AM36" s="386"/>
      <c r="AN36" s="371"/>
      <c r="AO36" s="374"/>
      <c r="AP36" s="374"/>
      <c r="AQ36" s="374"/>
      <c r="AR36" s="374"/>
      <c r="AS36" s="60"/>
      <c r="AT36" s="60"/>
      <c r="AU36" s="60"/>
      <c r="AV36" s="60"/>
      <c r="AW36" s="60"/>
    </row>
    <row r="37" spans="1:60" ht="95.25" customHeight="1" x14ac:dyDescent="0.25">
      <c r="A37" s="331"/>
      <c r="B37" s="332"/>
      <c r="C37" s="333"/>
      <c r="D37" s="334"/>
      <c r="E37" s="334"/>
      <c r="F37" s="334"/>
      <c r="G37" s="334"/>
      <c r="H37" s="343" t="s">
        <v>237</v>
      </c>
      <c r="I37" s="346"/>
      <c r="J37" s="340"/>
      <c r="K37" s="347"/>
      <c r="L37" s="340"/>
      <c r="M37" s="347"/>
      <c r="N37" s="357"/>
      <c r="O37" s="25" t="s">
        <v>190</v>
      </c>
      <c r="P37" s="81" t="s">
        <v>238</v>
      </c>
      <c r="Q37" s="25" t="str">
        <f t="shared" si="0"/>
        <v>Probabilidad</v>
      </c>
      <c r="R37" s="73" t="s">
        <v>128</v>
      </c>
      <c r="S37" s="73" t="s">
        <v>129</v>
      </c>
      <c r="T37" s="26" t="str">
        <f t="shared" si="1"/>
        <v>30%</v>
      </c>
      <c r="U37" s="73" t="s">
        <v>130</v>
      </c>
      <c r="V37" s="73" t="s">
        <v>147</v>
      </c>
      <c r="W37" s="73" t="s">
        <v>132</v>
      </c>
      <c r="X37" s="81" t="s">
        <v>239</v>
      </c>
      <c r="Y37" s="59">
        <f>IFERROR(IF(AND(Q36="Probabilidad",Q37="Probabilidad"),(AA36-(+AA36*T37)),IF(AND(Q36="Impacto",Q37="Probabilidad"),(AA35-(+AA35*T37)),IF(Q37="Impacto",AA36,""))),"")</f>
        <v>0.23520000000000002</v>
      </c>
      <c r="Z37" s="58" t="str">
        <f t="shared" si="2"/>
        <v>Baja</v>
      </c>
      <c r="AA37" s="26">
        <f t="shared" si="3"/>
        <v>0.23520000000000002</v>
      </c>
      <c r="AB37" s="58" t="str">
        <f t="shared" si="4"/>
        <v>Mayor</v>
      </c>
      <c r="AC37" s="26">
        <f>IFERROR(IF(AND(Q36="Impacto",Q37="Impacto"),(AC36-(+AC36*T37)),IF(AND(Q36="Probabilidad",Q37="Impacto"),(AC35-(+AC35*T37)),IF(Q37="Probabilidad",AC36,""))),"")</f>
        <v>0.8</v>
      </c>
      <c r="AD37" s="340"/>
      <c r="AE37" s="342"/>
      <c r="AF37" s="340"/>
      <c r="AG37" s="342"/>
      <c r="AH37" s="351"/>
      <c r="AI37" s="353"/>
      <c r="AJ37" s="377"/>
      <c r="AK37" s="380"/>
      <c r="AL37" s="383"/>
      <c r="AM37" s="386"/>
      <c r="AN37" s="371"/>
      <c r="AO37" s="374"/>
      <c r="AP37" s="374"/>
      <c r="AQ37" s="374"/>
      <c r="AR37" s="374"/>
      <c r="AS37" s="60"/>
      <c r="AT37" s="60"/>
      <c r="AU37" s="60"/>
      <c r="AV37" s="60"/>
      <c r="AW37" s="60"/>
    </row>
    <row r="38" spans="1:60" ht="95.25" customHeight="1" x14ac:dyDescent="0.25">
      <c r="A38" s="331"/>
      <c r="B38" s="332"/>
      <c r="C38" s="333"/>
      <c r="D38" s="334"/>
      <c r="E38" s="334"/>
      <c r="F38" s="334"/>
      <c r="G38" s="334"/>
      <c r="H38" s="344"/>
      <c r="I38" s="346"/>
      <c r="J38" s="340"/>
      <c r="K38" s="347"/>
      <c r="L38" s="340"/>
      <c r="M38" s="347"/>
      <c r="N38" s="357"/>
      <c r="O38" s="25" t="s">
        <v>193</v>
      </c>
      <c r="P38" s="81" t="s">
        <v>240</v>
      </c>
      <c r="Q38" s="25" t="str">
        <f t="shared" si="0"/>
        <v>Probabilidad</v>
      </c>
      <c r="R38" s="73" t="s">
        <v>128</v>
      </c>
      <c r="S38" s="73" t="s">
        <v>129</v>
      </c>
      <c r="T38" s="26" t="str">
        <f t="shared" si="1"/>
        <v>30%</v>
      </c>
      <c r="U38" s="73" t="s">
        <v>130</v>
      </c>
      <c r="V38" s="73" t="s">
        <v>147</v>
      </c>
      <c r="W38" s="73" t="s">
        <v>132</v>
      </c>
      <c r="X38" s="81" t="s">
        <v>241</v>
      </c>
      <c r="Y38" s="59">
        <f>IFERROR(IF(AND(Q37="Probabilidad",Q38="Probabilidad"),(AA37-(+AA37*T38)),IF(AND(Q37="Impacto",Q38="Probabilidad"),(AA36-(+AA36*T38)),IF(Q38="Impacto",AA37,""))),"")</f>
        <v>0.16464000000000001</v>
      </c>
      <c r="Z38" s="58" t="str">
        <f t="shared" si="2"/>
        <v>Muy Baja</v>
      </c>
      <c r="AA38" s="26">
        <f t="shared" si="3"/>
        <v>0.16464000000000001</v>
      </c>
      <c r="AB38" s="58" t="str">
        <f t="shared" si="4"/>
        <v>Mayor</v>
      </c>
      <c r="AC38" s="26">
        <f>IFERROR(IF(AND(Q37="Impacto",Q38="Impacto"),(AC37-(+AC37*T38)),IF(AND(Q37="Probabilidad",Q38="Impacto"),(AC36-(+AC36*T38)),IF(Q38="Probabilidad",AC37,""))),"")</f>
        <v>0.8</v>
      </c>
      <c r="AD38" s="340"/>
      <c r="AE38" s="342"/>
      <c r="AF38" s="340"/>
      <c r="AG38" s="342"/>
      <c r="AH38" s="351"/>
      <c r="AI38" s="353"/>
      <c r="AJ38" s="377"/>
      <c r="AK38" s="380"/>
      <c r="AL38" s="383"/>
      <c r="AM38" s="386"/>
      <c r="AN38" s="371"/>
      <c r="AO38" s="374"/>
      <c r="AP38" s="374"/>
      <c r="AQ38" s="374"/>
      <c r="AR38" s="374"/>
      <c r="AS38" s="60"/>
      <c r="AT38" s="60"/>
      <c r="AU38" s="60"/>
      <c r="AV38" s="60"/>
      <c r="AW38" s="60"/>
    </row>
    <row r="39" spans="1:60" ht="74.25" customHeight="1" x14ac:dyDescent="0.25">
      <c r="A39" s="331"/>
      <c r="B39" s="332"/>
      <c r="C39" s="333"/>
      <c r="D39" s="334"/>
      <c r="E39" s="334"/>
      <c r="F39" s="334"/>
      <c r="G39" s="334"/>
      <c r="H39" s="81" t="s">
        <v>242</v>
      </c>
      <c r="I39" s="346"/>
      <c r="J39" s="340"/>
      <c r="K39" s="347"/>
      <c r="L39" s="340"/>
      <c r="M39" s="347"/>
      <c r="N39" s="357"/>
      <c r="O39" s="25">
        <v>3</v>
      </c>
      <c r="P39" s="81" t="s">
        <v>243</v>
      </c>
      <c r="Q39" s="25" t="str">
        <f t="shared" si="0"/>
        <v>Impacto</v>
      </c>
      <c r="R39" s="73" t="s">
        <v>152</v>
      </c>
      <c r="S39" s="73" t="s">
        <v>129</v>
      </c>
      <c r="T39" s="26" t="str">
        <f t="shared" si="1"/>
        <v>25%</v>
      </c>
      <c r="U39" s="73" t="s">
        <v>162</v>
      </c>
      <c r="V39" s="73" t="s">
        <v>147</v>
      </c>
      <c r="W39" s="73" t="s">
        <v>132</v>
      </c>
      <c r="X39" s="81" t="s">
        <v>244</v>
      </c>
      <c r="Y39" s="59">
        <f>IFERROR(IF(AND(Q38="Probabilidad",Q39="Probabilidad"),(AA38-(+AA38*T39)),IF(AND(Q38="Impacto",Q39="Probabilidad"),(AA37-(+AA37*T39)),IF(Q39="Impacto",AA38,""))),"")</f>
        <v>0.16464000000000001</v>
      </c>
      <c r="Z39" s="58" t="str">
        <f t="shared" si="2"/>
        <v>Muy Baja</v>
      </c>
      <c r="AA39" s="26">
        <f t="shared" si="3"/>
        <v>0.16464000000000001</v>
      </c>
      <c r="AB39" s="58" t="str">
        <f t="shared" si="4"/>
        <v>Moderado</v>
      </c>
      <c r="AC39" s="26">
        <f>IFERROR(IF(AND(Q38="Impacto",Q39="Impacto"),(AC38-(+AC38*T39)),IF(AND(Q38="Probabilidad",Q39="Impacto"),(AC37-(+AC37*T39)),IF(Q39="Probabilidad",AC38,""))),"")</f>
        <v>0.60000000000000009</v>
      </c>
      <c r="AD39" s="340"/>
      <c r="AE39" s="342"/>
      <c r="AF39" s="340"/>
      <c r="AG39" s="342"/>
      <c r="AH39" s="351"/>
      <c r="AI39" s="353"/>
      <c r="AJ39" s="377"/>
      <c r="AK39" s="380"/>
      <c r="AL39" s="383"/>
      <c r="AM39" s="386"/>
      <c r="AN39" s="371"/>
      <c r="AO39" s="374"/>
      <c r="AP39" s="374"/>
      <c r="AQ39" s="374"/>
      <c r="AR39" s="374"/>
      <c r="AS39" s="60"/>
      <c r="AT39" s="60"/>
      <c r="AU39" s="60"/>
      <c r="AV39" s="60"/>
      <c r="AW39" s="60"/>
    </row>
    <row r="40" spans="1:60" ht="74.25" customHeight="1" x14ac:dyDescent="0.25">
      <c r="A40" s="331"/>
      <c r="B40" s="332"/>
      <c r="C40" s="333"/>
      <c r="D40" s="334"/>
      <c r="E40" s="334"/>
      <c r="F40" s="334"/>
      <c r="G40" s="334"/>
      <c r="H40" s="81" t="s">
        <v>245</v>
      </c>
      <c r="I40" s="346"/>
      <c r="J40" s="340"/>
      <c r="K40" s="347"/>
      <c r="L40" s="340"/>
      <c r="M40" s="347"/>
      <c r="N40" s="357"/>
      <c r="O40" s="25">
        <v>4</v>
      </c>
      <c r="P40" s="77" t="s">
        <v>246</v>
      </c>
      <c r="Q40" s="25" t="str">
        <f t="shared" si="0"/>
        <v>Impacto</v>
      </c>
      <c r="R40" s="73" t="s">
        <v>152</v>
      </c>
      <c r="S40" s="73" t="s">
        <v>129</v>
      </c>
      <c r="T40" s="26" t="str">
        <f t="shared" si="1"/>
        <v>25%</v>
      </c>
      <c r="U40" s="73" t="s">
        <v>130</v>
      </c>
      <c r="V40" s="73" t="s">
        <v>147</v>
      </c>
      <c r="W40" s="73" t="s">
        <v>132</v>
      </c>
      <c r="X40" s="78" t="s">
        <v>247</v>
      </c>
      <c r="Y40" s="59">
        <f>IFERROR(IF(AND(Q39="Probabilidad",Q40="Probabilidad"),(AA39-(+AA39*T40)),IF(AND(Q39="Impacto",Q40="Probabilidad"),(AA38-(+AA38*T40)),IF(Q40="Impacto",AA39,""))),"")</f>
        <v>0.16464000000000001</v>
      </c>
      <c r="Z40" s="58" t="str">
        <f t="shared" si="2"/>
        <v>Muy Baja</v>
      </c>
      <c r="AA40" s="26">
        <f t="shared" si="3"/>
        <v>0.16464000000000001</v>
      </c>
      <c r="AB40" s="58" t="str">
        <f t="shared" si="4"/>
        <v>Moderado</v>
      </c>
      <c r="AC40" s="26">
        <f>IFERROR(IF(AND(Q39="Impacto",Q40="Impacto"),(AC39-(+AC39*T40)),IF(AND(Q39="Probabilidad",Q40="Impacto"),(AC38-(+AC38*T40)),IF(Q40="Probabilidad",AC39,""))),"")</f>
        <v>0.45000000000000007</v>
      </c>
      <c r="AD40" s="340"/>
      <c r="AE40" s="342"/>
      <c r="AF40" s="340"/>
      <c r="AG40" s="342"/>
      <c r="AH40" s="351"/>
      <c r="AI40" s="353"/>
      <c r="AJ40" s="377"/>
      <c r="AK40" s="380"/>
      <c r="AL40" s="383"/>
      <c r="AM40" s="386"/>
      <c r="AN40" s="371"/>
      <c r="AO40" s="374"/>
      <c r="AP40" s="374"/>
      <c r="AQ40" s="374"/>
      <c r="AR40" s="374"/>
      <c r="AS40" s="60"/>
      <c r="AT40" s="60"/>
      <c r="AU40" s="60"/>
      <c r="AV40" s="60"/>
      <c r="AW40" s="60"/>
    </row>
    <row r="41" spans="1:60" ht="67.95" customHeight="1" x14ac:dyDescent="0.25">
      <c r="A41" s="331"/>
      <c r="B41" s="332"/>
      <c r="C41" s="333"/>
      <c r="D41" s="334"/>
      <c r="E41" s="334"/>
      <c r="F41" s="334"/>
      <c r="G41" s="334"/>
      <c r="H41" s="81" t="s">
        <v>248</v>
      </c>
      <c r="I41" s="346"/>
      <c r="J41" s="340"/>
      <c r="K41" s="347"/>
      <c r="L41" s="340"/>
      <c r="M41" s="347"/>
      <c r="N41" s="357"/>
      <c r="O41" s="25">
        <v>5</v>
      </c>
      <c r="P41" s="81" t="s">
        <v>249</v>
      </c>
      <c r="Q41" s="25" t="str">
        <f t="shared" si="0"/>
        <v>Probabilidad</v>
      </c>
      <c r="R41" s="73" t="s">
        <v>137</v>
      </c>
      <c r="S41" s="73" t="s">
        <v>129</v>
      </c>
      <c r="T41" s="26" t="str">
        <f t="shared" si="1"/>
        <v>40%</v>
      </c>
      <c r="U41" s="73" t="s">
        <v>250</v>
      </c>
      <c r="V41" s="73" t="s">
        <v>251</v>
      </c>
      <c r="W41" s="73" t="s">
        <v>132</v>
      </c>
      <c r="X41" s="78" t="s">
        <v>252</v>
      </c>
      <c r="Y41" s="59">
        <f>Y40</f>
        <v>0.16464000000000001</v>
      </c>
      <c r="Z41" s="58" t="str">
        <f t="shared" si="2"/>
        <v>Muy Baja</v>
      </c>
      <c r="AA41" s="26">
        <f t="shared" si="3"/>
        <v>0.16464000000000001</v>
      </c>
      <c r="AB41" s="58" t="str">
        <f t="shared" si="4"/>
        <v>Moderado</v>
      </c>
      <c r="AC41" s="26">
        <f>AC40</f>
        <v>0.45000000000000007</v>
      </c>
      <c r="AD41" s="340"/>
      <c r="AE41" s="342"/>
      <c r="AF41" s="340"/>
      <c r="AG41" s="342"/>
      <c r="AH41" s="351"/>
      <c r="AI41" s="353"/>
      <c r="AJ41" s="377"/>
      <c r="AK41" s="380"/>
      <c r="AL41" s="383"/>
      <c r="AM41" s="386"/>
      <c r="AN41" s="371"/>
      <c r="AO41" s="374"/>
      <c r="AP41" s="374"/>
      <c r="AQ41" s="374"/>
      <c r="AR41" s="374"/>
      <c r="AS41" s="60"/>
      <c r="AT41" s="60"/>
      <c r="AU41" s="60"/>
      <c r="AV41" s="60"/>
      <c r="AW41" s="60"/>
    </row>
    <row r="42" spans="1:60" ht="61.2" customHeight="1" x14ac:dyDescent="0.25">
      <c r="A42" s="331"/>
      <c r="B42" s="332"/>
      <c r="C42" s="333"/>
      <c r="D42" s="334"/>
      <c r="E42" s="334"/>
      <c r="F42" s="334"/>
      <c r="G42" s="334"/>
      <c r="H42" s="81" t="s">
        <v>253</v>
      </c>
      <c r="I42" s="346"/>
      <c r="J42" s="340"/>
      <c r="K42" s="347"/>
      <c r="L42" s="340"/>
      <c r="M42" s="347"/>
      <c r="N42" s="357"/>
      <c r="O42" s="25">
        <v>6</v>
      </c>
      <c r="P42" s="84" t="s">
        <v>254</v>
      </c>
      <c r="Q42" s="25" t="str">
        <f t="shared" si="0"/>
        <v>Probabilidad</v>
      </c>
      <c r="R42" s="73" t="s">
        <v>137</v>
      </c>
      <c r="S42" s="73" t="s">
        <v>129</v>
      </c>
      <c r="T42" s="26" t="str">
        <f t="shared" si="1"/>
        <v>40%</v>
      </c>
      <c r="U42" s="73" t="s">
        <v>250</v>
      </c>
      <c r="V42" s="73" t="s">
        <v>251</v>
      </c>
      <c r="W42" s="73" t="s">
        <v>132</v>
      </c>
      <c r="X42" s="25" t="s">
        <v>255</v>
      </c>
      <c r="Y42" s="59">
        <f>Y41</f>
        <v>0.16464000000000001</v>
      </c>
      <c r="Z42" s="58" t="str">
        <f t="shared" si="2"/>
        <v>Muy Baja</v>
      </c>
      <c r="AA42" s="26">
        <f t="shared" si="3"/>
        <v>0.16464000000000001</v>
      </c>
      <c r="AB42" s="58" t="str">
        <f t="shared" si="4"/>
        <v>Moderado</v>
      </c>
      <c r="AC42" s="26">
        <f>AC41</f>
        <v>0.45000000000000007</v>
      </c>
      <c r="AD42" s="340"/>
      <c r="AE42" s="342"/>
      <c r="AF42" s="340"/>
      <c r="AG42" s="342"/>
      <c r="AH42" s="351"/>
      <c r="AI42" s="353"/>
      <c r="AJ42" s="377"/>
      <c r="AK42" s="380"/>
      <c r="AL42" s="383"/>
      <c r="AM42" s="386"/>
      <c r="AN42" s="371"/>
      <c r="AO42" s="374"/>
      <c r="AP42" s="374"/>
      <c r="AQ42" s="374"/>
      <c r="AR42" s="374"/>
      <c r="AS42" s="60"/>
      <c r="AT42" s="60"/>
      <c r="AU42" s="60"/>
      <c r="AV42" s="60"/>
      <c r="AW42" s="60"/>
    </row>
    <row r="43" spans="1:60" ht="95.25" customHeight="1" x14ac:dyDescent="0.25">
      <c r="A43" s="331"/>
      <c r="B43" s="332"/>
      <c r="C43" s="333"/>
      <c r="D43" s="334"/>
      <c r="E43" s="334"/>
      <c r="F43" s="334"/>
      <c r="G43" s="334"/>
      <c r="H43" s="81" t="s">
        <v>256</v>
      </c>
      <c r="I43" s="346"/>
      <c r="J43" s="340"/>
      <c r="K43" s="347"/>
      <c r="L43" s="340"/>
      <c r="M43" s="347"/>
      <c r="N43" s="357"/>
      <c r="O43" s="25">
        <v>7</v>
      </c>
      <c r="P43" s="81" t="s">
        <v>257</v>
      </c>
      <c r="Q43" s="25" t="str">
        <f t="shared" si="0"/>
        <v>Probabilidad</v>
      </c>
      <c r="R43" s="73" t="s">
        <v>137</v>
      </c>
      <c r="S43" s="73" t="s">
        <v>129</v>
      </c>
      <c r="T43" s="26" t="str">
        <f t="shared" si="1"/>
        <v>40%</v>
      </c>
      <c r="U43" s="73" t="s">
        <v>130</v>
      </c>
      <c r="V43" s="73" t="s">
        <v>147</v>
      </c>
      <c r="W43" s="73" t="s">
        <v>132</v>
      </c>
      <c r="X43" s="78" t="s">
        <v>258</v>
      </c>
      <c r="Y43" s="59">
        <f>Y42</f>
        <v>0.16464000000000001</v>
      </c>
      <c r="Z43" s="58" t="str">
        <f t="shared" si="2"/>
        <v>Muy Baja</v>
      </c>
      <c r="AA43" s="26">
        <f t="shared" si="3"/>
        <v>0.16464000000000001</v>
      </c>
      <c r="AB43" s="58" t="str">
        <f t="shared" si="4"/>
        <v>Moderado</v>
      </c>
      <c r="AC43" s="26">
        <f>AC42</f>
        <v>0.45000000000000007</v>
      </c>
      <c r="AD43" s="340"/>
      <c r="AE43" s="342"/>
      <c r="AF43" s="340"/>
      <c r="AG43" s="342"/>
      <c r="AH43" s="351"/>
      <c r="AI43" s="353"/>
      <c r="AJ43" s="378"/>
      <c r="AK43" s="381"/>
      <c r="AL43" s="384"/>
      <c r="AM43" s="387"/>
      <c r="AN43" s="372"/>
      <c r="AO43" s="375"/>
      <c r="AP43" s="375"/>
      <c r="AQ43" s="375"/>
      <c r="AR43" s="375"/>
      <c r="AS43" s="60"/>
      <c r="AT43" s="60"/>
      <c r="AU43" s="60"/>
      <c r="AV43" s="60"/>
      <c r="AW43" s="60"/>
    </row>
    <row r="44" spans="1:60" ht="93" customHeight="1" x14ac:dyDescent="0.25">
      <c r="A44" s="331" t="s">
        <v>259</v>
      </c>
      <c r="B44" s="332" t="s">
        <v>626</v>
      </c>
      <c r="C44" s="333" t="s">
        <v>228</v>
      </c>
      <c r="D44" s="345" t="s">
        <v>229</v>
      </c>
      <c r="E44" s="345" t="s">
        <v>260</v>
      </c>
      <c r="F44" s="345" t="s">
        <v>261</v>
      </c>
      <c r="G44" s="343" t="s">
        <v>262</v>
      </c>
      <c r="H44" s="81" t="s">
        <v>263</v>
      </c>
      <c r="I44" s="345" t="s">
        <v>658</v>
      </c>
      <c r="J44" s="339" t="s">
        <v>206</v>
      </c>
      <c r="K44" s="347">
        <f>IF(J44="","",IF(J44="Muy Baja",0.2,IF(J44="Baja",0.4,IF(J44="Media",0.6,IF(J44="Alta",0.8,IF(J44="Muy Alta",1,))))))</f>
        <v>0.6</v>
      </c>
      <c r="L44" s="339" t="s">
        <v>125</v>
      </c>
      <c r="M44" s="347">
        <f>IF(L44="","",IF(L44="Leve",0.2,IF(L44="Menor",0.4,IF(L44="Moderado",0.6,IF(L44="Mayor",0.8,IF(L44="Catastrófico",1,))))))</f>
        <v>0.6</v>
      </c>
      <c r="N44" s="357" t="str">
        <f>IF(OR(AND(J44="Muy Baja",L44="Leve"),AND(J44="Muy Baja",L44="Menor"),AND(J44="Baja",L44="Leve")),"Bajo",IF(OR(AND(J44="Muy baja",L44="Moderado"),AND(J44="Baja",L44="Menor"),AND(J44="Baja",L44="Moderado"),AND(J44="Media",L44="Leve"),AND(J44="Media",L44="Menor"),AND(J44="Media",L44="Moderado"),AND(J44="Alta",L44="Leve"),AND(J44="Alta",L44="Menor")),"Moderado",IF(OR(AND(J44="Muy Baja",L44="Mayor"),AND(J44="Baja",L44="Mayor"),AND(J44="Media",L44="Mayor"),AND(J44="Alta",L44="Moderado"),AND(J44="Alta",L44="Mayor"),AND(J44="Muy Alta",L44="Leve"),AND(J44="Muy Alta",L44="Menor"),AND(J44="Muy Alta",L44="Moderado"),AND(J44="Muy Alta",L44="Mayor")),"Alto",IF(OR(AND(J44="Muy Baja",L44="Catastrófico"),AND(J44="Baja",L44="Catastrófico"),AND(J44="Media",L44="Catastrófico"),AND(J44="Alta",L44="Catastrófico"),AND(J44="Muy Alta",L44="Catastrófico")),"Extremo",""))))</f>
        <v>Moderado</v>
      </c>
      <c r="O44" s="25">
        <v>1</v>
      </c>
      <c r="P44" s="77" t="s">
        <v>264</v>
      </c>
      <c r="Q44" s="25" t="str">
        <f t="shared" si="0"/>
        <v>Probabilidad</v>
      </c>
      <c r="R44" s="73" t="s">
        <v>137</v>
      </c>
      <c r="S44" s="73" t="s">
        <v>129</v>
      </c>
      <c r="T44" s="26" t="str">
        <f t="shared" si="1"/>
        <v>40%</v>
      </c>
      <c r="U44" s="73" t="s">
        <v>130</v>
      </c>
      <c r="V44" s="73" t="s">
        <v>147</v>
      </c>
      <c r="W44" s="73" t="s">
        <v>132</v>
      </c>
      <c r="X44" s="78" t="s">
        <v>265</v>
      </c>
      <c r="Y44" s="59">
        <f>IFERROR(IF(Q44="Probabilidad",(K44-(+K44*T44)),IF(Q44="Impacto",K44,"")),"")</f>
        <v>0.36</v>
      </c>
      <c r="Z44" s="58" t="str">
        <f t="shared" si="2"/>
        <v>Baja</v>
      </c>
      <c r="AA44" s="26">
        <f t="shared" si="3"/>
        <v>0.36</v>
      </c>
      <c r="AB44" s="58" t="str">
        <f t="shared" si="4"/>
        <v>Moderado</v>
      </c>
      <c r="AC44" s="26">
        <f>IFERROR(IF(Q44="Impacto",(M44-(+M44*T44)),IF(Q44="Probabilidad",M44,"")),"")</f>
        <v>0.6</v>
      </c>
      <c r="AD44" s="339" t="str">
        <f>IFERROR(IF(AE44=0,"",IF(AND(AE44&gt;0,AE44&lt;=0.2),"Muy Baja",IF(AE44&lt;=0.4,"Baja",IF(AE44&lt;=0.6,"Media",IF(AE44&lt;=0.8,"Alta","Muy Alta"))))),"")</f>
        <v>Muy Baja</v>
      </c>
      <c r="AE44" s="341">
        <f>MIN(Y44:Y49)</f>
        <v>4.6655999999999996E-2</v>
      </c>
      <c r="AF44" s="339" t="str">
        <f>IFERROR(IF(AG44=0,"",IF(AND(AG44&gt;0,AG44&lt;=0.2),"Leve",IF(AG44&lt;=0.4,"Menor",IF(AG44&lt;=0.6,"Moderado",IF(AG44&lt;=0.8,"Mayor","Catastrófico"))))),"")</f>
        <v>Moderado</v>
      </c>
      <c r="AG44" s="341">
        <f>MIN(AC44:AC49)</f>
        <v>0.44999999999999996</v>
      </c>
      <c r="AH44" s="350" t="str">
        <f>IFERROR(IF(OR(AND(AD44="Muy Baja",AF44="Leve"),AND(AD44="Muy Baja",AF44="Menor"),AND(AD44="Baja",AF44="Leve")),"Bajo",IF(OR(AND(AD44="Muy Baja",AF44="Moderado"),AND(AD44="Baja",AF44="Menor"),AND(AD44="Baja",AF44="Moderado"),AND(AD44="Media",AF44="Leve"),AND(AD44="Media",AF44="Menor"),AND(AD44="Media",AF44="Moderado"),AND(AD44="Alta",AF44="Leve"),AND(AD44="Alta",AF44="Menor")),"Moderado",IF(OR(AND(AD44="Muy Baja",AF44="Mayor"),AND(AD44="Baja",AF44="Mayor"),AND(AD44="Media",AF44="Mayor"),AND(AD44="Alta",AF44="Moderado"),AND(AD44="Alta",AF44="Mayor"),AND(AD44="Muy Alta",AF44="Leve"),AND(AD44="Muy Alta",AF44="Menor"),AND(AD44="Muy Alta",AF44="Moderado"),AND(AD44="Muy Alta",AF44="Mayor")),"Alto",IF(OR(AND(AD44="Muy Baja",AF44="Catastrófico"),AND(AD44="Baja",AF44="Catastrófico"),AND(AD44="Media",AF44="Catastrófico"),AND(AD44="Alta",AF44="Catastrófico"),AND(AD44="Muy Alta",AF44="Catastrófico")),"Extremo","")))),"")</f>
        <v>Moderado</v>
      </c>
      <c r="AI44" s="352" t="s">
        <v>134</v>
      </c>
      <c r="AJ44" s="392"/>
      <c r="AK44" s="395" t="s">
        <v>707</v>
      </c>
      <c r="AL44" s="398" t="s">
        <v>708</v>
      </c>
      <c r="AM44" s="401" t="s">
        <v>744</v>
      </c>
      <c r="AN44" s="404" t="s">
        <v>745</v>
      </c>
      <c r="AO44" s="389" t="s">
        <v>682</v>
      </c>
      <c r="AP44" s="389"/>
      <c r="AQ44" s="389" t="s">
        <v>682</v>
      </c>
      <c r="AR44" s="389"/>
      <c r="AS44" s="60"/>
      <c r="AT44" s="60"/>
      <c r="AU44" s="60"/>
      <c r="AV44" s="60"/>
      <c r="AW44" s="60"/>
      <c r="AX44" s="60"/>
      <c r="AY44" s="60"/>
      <c r="AZ44" s="60"/>
      <c r="BA44" s="60"/>
      <c r="BB44" s="60"/>
      <c r="BC44" s="60"/>
      <c r="BD44" s="60"/>
      <c r="BE44" s="60"/>
      <c r="BF44" s="60"/>
      <c r="BG44" s="60"/>
      <c r="BH44" s="60"/>
    </row>
    <row r="45" spans="1:60" ht="93" customHeight="1" x14ac:dyDescent="0.25">
      <c r="A45" s="331"/>
      <c r="B45" s="332"/>
      <c r="C45" s="333"/>
      <c r="D45" s="346"/>
      <c r="E45" s="346"/>
      <c r="F45" s="346"/>
      <c r="G45" s="360"/>
      <c r="H45" s="81" t="s">
        <v>266</v>
      </c>
      <c r="I45" s="346"/>
      <c r="J45" s="340"/>
      <c r="K45" s="347"/>
      <c r="L45" s="340"/>
      <c r="M45" s="347"/>
      <c r="N45" s="357"/>
      <c r="O45" s="25">
        <v>2</v>
      </c>
      <c r="P45" s="77" t="s">
        <v>267</v>
      </c>
      <c r="Q45" s="25" t="str">
        <f t="shared" si="0"/>
        <v>Probabilidad</v>
      </c>
      <c r="R45" s="73" t="s">
        <v>137</v>
      </c>
      <c r="S45" s="73" t="s">
        <v>129</v>
      </c>
      <c r="T45" s="26" t="str">
        <f t="shared" si="1"/>
        <v>40%</v>
      </c>
      <c r="U45" s="73" t="s">
        <v>162</v>
      </c>
      <c r="V45" s="73" t="s">
        <v>131</v>
      </c>
      <c r="W45" s="73" t="s">
        <v>132</v>
      </c>
      <c r="X45" s="78" t="s">
        <v>268</v>
      </c>
      <c r="Y45" s="59">
        <f>IFERROR(IF(AND(Q44="Probabilidad",Q45="Probabilidad"),(AA44-(+AA44*T45)),IF(Q45="Probabilidad",(K44-(+K44*T45)),IF(Q45="Impacto",AA44,""))),"")</f>
        <v>0.216</v>
      </c>
      <c r="Z45" s="58" t="str">
        <f t="shared" si="2"/>
        <v>Baja</v>
      </c>
      <c r="AA45" s="26">
        <f t="shared" si="3"/>
        <v>0.216</v>
      </c>
      <c r="AB45" s="58" t="str">
        <f t="shared" si="4"/>
        <v>Moderado</v>
      </c>
      <c r="AC45" s="26">
        <f>IFERROR(IF(AND(Q44="Impacto",Q45="Impacto"),(AC44-(+AC44*T45)),IF(Q45="Impacto",($M$15-(+$M$15*T45)),IF(Q45="Probabilidad",AC44,""))),"")</f>
        <v>0.6</v>
      </c>
      <c r="AD45" s="340"/>
      <c r="AE45" s="342"/>
      <c r="AF45" s="340"/>
      <c r="AG45" s="342"/>
      <c r="AH45" s="351"/>
      <c r="AI45" s="353"/>
      <c r="AJ45" s="393"/>
      <c r="AK45" s="396"/>
      <c r="AL45" s="399"/>
      <c r="AM45" s="402"/>
      <c r="AN45" s="405"/>
      <c r="AO45" s="390"/>
      <c r="AP45" s="390"/>
      <c r="AQ45" s="390"/>
      <c r="AR45" s="390"/>
      <c r="AS45" s="60"/>
      <c r="AT45" s="60"/>
      <c r="AU45" s="60"/>
      <c r="AV45" s="60"/>
      <c r="AW45" s="60"/>
      <c r="AX45" s="60"/>
      <c r="AY45" s="60"/>
      <c r="AZ45" s="60"/>
      <c r="BA45" s="60"/>
      <c r="BB45" s="60"/>
      <c r="BC45" s="60"/>
      <c r="BD45" s="60"/>
      <c r="BE45" s="60"/>
      <c r="BF45" s="60"/>
      <c r="BG45" s="60"/>
      <c r="BH45" s="60"/>
    </row>
    <row r="46" spans="1:60" ht="93" customHeight="1" x14ac:dyDescent="0.25">
      <c r="A46" s="331"/>
      <c r="B46" s="332"/>
      <c r="C46" s="333"/>
      <c r="D46" s="346"/>
      <c r="E46" s="346"/>
      <c r="F46" s="346"/>
      <c r="G46" s="360"/>
      <c r="H46" s="343" t="s">
        <v>269</v>
      </c>
      <c r="I46" s="346"/>
      <c r="J46" s="340"/>
      <c r="K46" s="347"/>
      <c r="L46" s="340"/>
      <c r="M46" s="347"/>
      <c r="N46" s="357"/>
      <c r="O46" s="25" t="s">
        <v>270</v>
      </c>
      <c r="P46" s="85" t="s">
        <v>271</v>
      </c>
      <c r="Q46" s="25" t="str">
        <f t="shared" si="0"/>
        <v>Probabilidad</v>
      </c>
      <c r="R46" s="73" t="s">
        <v>137</v>
      </c>
      <c r="S46" s="73" t="s">
        <v>129</v>
      </c>
      <c r="T46" s="26" t="str">
        <f t="shared" si="1"/>
        <v>40%</v>
      </c>
      <c r="U46" s="73" t="s">
        <v>162</v>
      </c>
      <c r="V46" s="73" t="s">
        <v>131</v>
      </c>
      <c r="W46" s="73" t="s">
        <v>132</v>
      </c>
      <c r="X46" s="25" t="s">
        <v>272</v>
      </c>
      <c r="Y46" s="59">
        <f>IFERROR(IF(AND(Q45="Probabilidad",Q46="Probabilidad"),(AA45-(+AA45*T46)),IF(AND(Q45="Impacto",Q46="Probabilidad"),(AC44-(+AC44*T46)),IF(Q46="Impacto",AA45,""))),"")</f>
        <v>0.12959999999999999</v>
      </c>
      <c r="Z46" s="58" t="str">
        <f t="shared" si="2"/>
        <v>Muy Baja</v>
      </c>
      <c r="AA46" s="26">
        <f t="shared" si="3"/>
        <v>0.12959999999999999</v>
      </c>
      <c r="AB46" s="58" t="str">
        <f t="shared" si="4"/>
        <v>Moderado</v>
      </c>
      <c r="AC46" s="26">
        <f>IFERROR(IF(AND(Q45="Impacto",Q46="Impacto"),(AC45-(+AC45*T46)),IF(AND(Q45="Probabilidad",Q46="Impacto"),(AC44-(+AC44*T46)),IF(Q46="Probabilidad",AC45,""))),"")</f>
        <v>0.6</v>
      </c>
      <c r="AD46" s="340"/>
      <c r="AE46" s="342"/>
      <c r="AF46" s="340"/>
      <c r="AG46" s="342"/>
      <c r="AH46" s="351"/>
      <c r="AI46" s="353"/>
      <c r="AJ46" s="393"/>
      <c r="AK46" s="396"/>
      <c r="AL46" s="399"/>
      <c r="AM46" s="402"/>
      <c r="AN46" s="405"/>
      <c r="AO46" s="390"/>
      <c r="AP46" s="390"/>
      <c r="AQ46" s="390"/>
      <c r="AR46" s="390"/>
      <c r="AS46" s="60"/>
      <c r="AT46" s="60"/>
      <c r="AU46" s="60"/>
      <c r="AV46" s="60"/>
      <c r="AW46" s="60"/>
      <c r="AX46" s="60"/>
      <c r="AY46" s="60"/>
      <c r="AZ46" s="60"/>
      <c r="BA46" s="60"/>
      <c r="BB46" s="60"/>
      <c r="BC46" s="60"/>
      <c r="BD46" s="60"/>
      <c r="BE46" s="60"/>
      <c r="BF46" s="60"/>
      <c r="BG46" s="60"/>
      <c r="BH46" s="60"/>
    </row>
    <row r="47" spans="1:60" ht="93" customHeight="1" x14ac:dyDescent="0.25">
      <c r="A47" s="331"/>
      <c r="B47" s="332"/>
      <c r="C47" s="333"/>
      <c r="D47" s="346"/>
      <c r="E47" s="346"/>
      <c r="F47" s="346"/>
      <c r="G47" s="360"/>
      <c r="H47" s="344"/>
      <c r="I47" s="346"/>
      <c r="J47" s="340"/>
      <c r="K47" s="347"/>
      <c r="L47" s="340"/>
      <c r="M47" s="347"/>
      <c r="N47" s="357"/>
      <c r="O47" s="25" t="s">
        <v>273</v>
      </c>
      <c r="P47" s="77" t="s">
        <v>274</v>
      </c>
      <c r="Q47" s="25" t="str">
        <f t="shared" ref="Q47:Q74" si="5">IF(OR(R47="Preventivo",R47="Detectivo"),"Probabilidad",IF(R47="Correctivo","Impacto",""))</f>
        <v>Probabilidad</v>
      </c>
      <c r="R47" s="73" t="s">
        <v>137</v>
      </c>
      <c r="S47" s="73" t="s">
        <v>129</v>
      </c>
      <c r="T47" s="26" t="str">
        <f t="shared" ref="T47:T74" si="6">IF(AND(R47="Preventivo",S47="Automático"),"50%",IF(AND(R47="Preventivo",S47="Manual"),"40%",IF(AND(R47="Detectivo",S47="Automático"),"40%",IF(AND(R47="Detectivo",S47="Manual"),"30%",IF(AND(R47="Correctivo",S47="Automático"),"35%",IF(AND(R47="Correctivo",S47="Manual"),"25%",""))))))</f>
        <v>40%</v>
      </c>
      <c r="U47" s="73" t="s">
        <v>162</v>
      </c>
      <c r="V47" s="73" t="s">
        <v>131</v>
      </c>
      <c r="W47" s="73" t="s">
        <v>132</v>
      </c>
      <c r="X47" s="78" t="s">
        <v>275</v>
      </c>
      <c r="Y47" s="59">
        <f>IFERROR(IF(AND(Q46="Probabilidad",Q47="Probabilidad"),(AA46-(+AA46*T47)),IF(AND(Q46="Impacto",Q47="Probabilidad"),(#REF!-(+#REF!*T47)),IF(Q47="Impacto",AA46,""))),"")</f>
        <v>7.7759999999999996E-2</v>
      </c>
      <c r="Z47" s="58" t="str">
        <f t="shared" ref="Z47:Z74" si="7">IFERROR(IF(Y47="","",IF(Y47&lt;=0.2,"Muy Baja",IF(Y47&lt;=0.4,"Baja",IF(Y47&lt;=0.6,"Media",IF(Y47&lt;=0.8,"Alta","Muy Alta"))))),"")</f>
        <v>Muy Baja</v>
      </c>
      <c r="AA47" s="26">
        <f t="shared" ref="AA47:AA74" si="8">+Y47</f>
        <v>7.7759999999999996E-2</v>
      </c>
      <c r="AB47" s="58" t="str">
        <f t="shared" ref="AB47:AB74" si="9">IFERROR(IF(AC47="","",IF(AC47&lt;=0.2,"Leve",IF(AC47&lt;=0.4,"Menor",IF(AC47&lt;=0.6,"Moderado",IF(AC47&lt;=0.8,"Mayor","Catastrófico"))))),"")</f>
        <v>Moderado</v>
      </c>
      <c r="AC47" s="26">
        <f>IFERROR(IF(AND(Q46="Impacto",Q47="Impacto"),(AC46-(+AC46*T47)),IF(AND(Q46="Probabilidad",Q47="Impacto"),(#REF!-(+#REF!*T47)),IF(Q47="Probabilidad",AC46,""))),"")</f>
        <v>0.6</v>
      </c>
      <c r="AD47" s="340"/>
      <c r="AE47" s="342"/>
      <c r="AF47" s="340"/>
      <c r="AG47" s="342"/>
      <c r="AH47" s="351"/>
      <c r="AI47" s="353"/>
      <c r="AJ47" s="393"/>
      <c r="AK47" s="396"/>
      <c r="AL47" s="399"/>
      <c r="AM47" s="402"/>
      <c r="AN47" s="405"/>
      <c r="AO47" s="390"/>
      <c r="AP47" s="390"/>
      <c r="AQ47" s="390"/>
      <c r="AR47" s="390"/>
      <c r="AS47" s="60"/>
      <c r="AT47" s="60"/>
      <c r="AU47" s="60"/>
      <c r="AV47" s="60"/>
      <c r="AW47" s="60"/>
      <c r="AX47" s="60"/>
      <c r="AY47" s="60"/>
      <c r="AZ47" s="60"/>
      <c r="BA47" s="60"/>
      <c r="BB47" s="60"/>
      <c r="BC47" s="60"/>
      <c r="BD47" s="60"/>
      <c r="BE47" s="60"/>
      <c r="BF47" s="60"/>
      <c r="BG47" s="60"/>
      <c r="BH47" s="60"/>
    </row>
    <row r="48" spans="1:60" ht="93" customHeight="1" x14ac:dyDescent="0.25">
      <c r="A48" s="331"/>
      <c r="B48" s="332"/>
      <c r="C48" s="333"/>
      <c r="D48" s="346"/>
      <c r="E48" s="346"/>
      <c r="F48" s="346"/>
      <c r="G48" s="360"/>
      <c r="H48" s="81" t="s">
        <v>276</v>
      </c>
      <c r="I48" s="346"/>
      <c r="J48" s="340"/>
      <c r="K48" s="347"/>
      <c r="L48" s="340"/>
      <c r="M48" s="347"/>
      <c r="N48" s="357"/>
      <c r="O48" s="25">
        <v>4</v>
      </c>
      <c r="P48" s="77" t="s">
        <v>627</v>
      </c>
      <c r="Q48" s="25" t="str">
        <f t="shared" si="5"/>
        <v>Probabilidad</v>
      </c>
      <c r="R48" s="73" t="s">
        <v>137</v>
      </c>
      <c r="S48" s="73" t="s">
        <v>129</v>
      </c>
      <c r="T48" s="26" t="str">
        <f t="shared" si="6"/>
        <v>40%</v>
      </c>
      <c r="U48" s="73" t="s">
        <v>162</v>
      </c>
      <c r="V48" s="73" t="s">
        <v>131</v>
      </c>
      <c r="W48" s="73" t="s">
        <v>132</v>
      </c>
      <c r="X48" s="78" t="s">
        <v>277</v>
      </c>
      <c r="Y48" s="59">
        <f>IFERROR(IF(AND(Q47="Probabilidad",Q48="Probabilidad"),(AA47-(+AA47*T48)),IF(AND(Q47="Impacto",Q48="Probabilidad"),(AA46-(+AA46*T48)),IF(Q48="Impacto",AA47,""))),"")</f>
        <v>4.6655999999999996E-2</v>
      </c>
      <c r="Z48" s="58" t="str">
        <f t="shared" si="7"/>
        <v>Muy Baja</v>
      </c>
      <c r="AA48" s="26">
        <f t="shared" si="8"/>
        <v>4.6655999999999996E-2</v>
      </c>
      <c r="AB48" s="58" t="str">
        <f t="shared" si="9"/>
        <v>Moderado</v>
      </c>
      <c r="AC48" s="26">
        <f>IFERROR(IF(AND(Q47="Impacto",Q48="Impacto"),(AC47-(+AC47*T48)),IF(AND(Q47="Probabilidad",Q48="Impacto"),(AC46-(+AC46*T48)),IF(Q48="Probabilidad",AC47,""))),"")</f>
        <v>0.6</v>
      </c>
      <c r="AD48" s="340"/>
      <c r="AE48" s="342"/>
      <c r="AF48" s="340"/>
      <c r="AG48" s="342"/>
      <c r="AH48" s="351"/>
      <c r="AI48" s="353"/>
      <c r="AJ48" s="393"/>
      <c r="AK48" s="396"/>
      <c r="AL48" s="399"/>
      <c r="AM48" s="402"/>
      <c r="AN48" s="405"/>
      <c r="AO48" s="390"/>
      <c r="AP48" s="390"/>
      <c r="AQ48" s="390"/>
      <c r="AR48" s="390"/>
      <c r="AS48" s="60"/>
      <c r="AT48" s="60"/>
      <c r="AU48" s="60"/>
      <c r="AV48" s="60"/>
      <c r="AW48" s="60"/>
      <c r="AX48" s="60"/>
      <c r="AY48" s="60"/>
      <c r="AZ48" s="60"/>
      <c r="BA48" s="60"/>
      <c r="BB48" s="60"/>
      <c r="BC48" s="60"/>
      <c r="BD48" s="60"/>
      <c r="BE48" s="60"/>
      <c r="BF48" s="60"/>
      <c r="BG48" s="60"/>
      <c r="BH48" s="60"/>
    </row>
    <row r="49" spans="1:60" ht="93" customHeight="1" x14ac:dyDescent="0.25">
      <c r="A49" s="331"/>
      <c r="B49" s="332"/>
      <c r="C49" s="333"/>
      <c r="D49" s="388"/>
      <c r="E49" s="388"/>
      <c r="F49" s="388"/>
      <c r="G49" s="344"/>
      <c r="H49" s="81" t="s">
        <v>278</v>
      </c>
      <c r="I49" s="346"/>
      <c r="J49" s="340"/>
      <c r="K49" s="347"/>
      <c r="L49" s="340"/>
      <c r="M49" s="347"/>
      <c r="N49" s="357"/>
      <c r="O49" s="25">
        <v>5</v>
      </c>
      <c r="P49" s="77" t="s">
        <v>246</v>
      </c>
      <c r="Q49" s="25" t="str">
        <f t="shared" si="5"/>
        <v>Impacto</v>
      </c>
      <c r="R49" s="73" t="s">
        <v>152</v>
      </c>
      <c r="S49" s="73" t="s">
        <v>129</v>
      </c>
      <c r="T49" s="26" t="str">
        <f t="shared" si="6"/>
        <v>25%</v>
      </c>
      <c r="U49" s="73" t="s">
        <v>130</v>
      </c>
      <c r="V49" s="73" t="s">
        <v>147</v>
      </c>
      <c r="W49" s="73" t="s">
        <v>132</v>
      </c>
      <c r="X49" s="78" t="s">
        <v>247</v>
      </c>
      <c r="Y49" s="59">
        <f>IFERROR(IF(AND(Q48="Probabilidad",Q49="Probabilidad"),(AA48-(+AA48*T49)),IF(AND(Q48="Impacto",Q49="Probabilidad"),(AA47-(+AA47*T49)),IF(Q49="Impacto",AA48,""))),"")</f>
        <v>4.6655999999999996E-2</v>
      </c>
      <c r="Z49" s="58" t="str">
        <f t="shared" si="7"/>
        <v>Muy Baja</v>
      </c>
      <c r="AA49" s="26">
        <f t="shared" si="8"/>
        <v>4.6655999999999996E-2</v>
      </c>
      <c r="AB49" s="58" t="str">
        <f t="shared" si="9"/>
        <v>Moderado</v>
      </c>
      <c r="AC49" s="26">
        <f>IFERROR(IF(AND(Q48="Impacto",Q49="Impacto"),(AC48-(+AC48*T49)),IF(AND(Q48="Probabilidad",Q49="Impacto"),(AC47-(+AC47*T49)),IF(Q49="Probabilidad",AC48,""))),"")</f>
        <v>0.44999999999999996</v>
      </c>
      <c r="AD49" s="340"/>
      <c r="AE49" s="342"/>
      <c r="AF49" s="340"/>
      <c r="AG49" s="342"/>
      <c r="AH49" s="351"/>
      <c r="AI49" s="353"/>
      <c r="AJ49" s="394"/>
      <c r="AK49" s="397"/>
      <c r="AL49" s="400"/>
      <c r="AM49" s="403"/>
      <c r="AN49" s="406"/>
      <c r="AO49" s="391"/>
      <c r="AP49" s="391"/>
      <c r="AQ49" s="391"/>
      <c r="AR49" s="391"/>
      <c r="AS49" s="60"/>
      <c r="AT49" s="60"/>
      <c r="AU49" s="60"/>
      <c r="AV49" s="60"/>
      <c r="AW49" s="60"/>
      <c r="AX49" s="60"/>
      <c r="AY49" s="60"/>
      <c r="AZ49" s="60"/>
      <c r="BA49" s="60"/>
      <c r="BB49" s="60"/>
      <c r="BC49" s="60"/>
      <c r="BD49" s="60"/>
      <c r="BE49" s="60"/>
      <c r="BF49" s="60"/>
      <c r="BG49" s="60"/>
      <c r="BH49" s="60"/>
    </row>
    <row r="50" spans="1:60" ht="131.25" customHeight="1" x14ac:dyDescent="0.25">
      <c r="A50" s="331" t="s">
        <v>279</v>
      </c>
      <c r="B50" s="332" t="s">
        <v>280</v>
      </c>
      <c r="C50" s="332" t="s">
        <v>281</v>
      </c>
      <c r="D50" s="332" t="s">
        <v>282</v>
      </c>
      <c r="E50" s="332" t="s">
        <v>283</v>
      </c>
      <c r="F50" s="332" t="s">
        <v>284</v>
      </c>
      <c r="G50" s="334" t="s">
        <v>285</v>
      </c>
      <c r="H50" s="343" t="s">
        <v>286</v>
      </c>
      <c r="I50" s="345" t="s">
        <v>658</v>
      </c>
      <c r="J50" s="339" t="s">
        <v>287</v>
      </c>
      <c r="K50" s="347">
        <f>IF(J50="","",IF(J50="Muy Baja",0.2,IF(J50="Baja",0.4,IF(J50="Media",0.6,IF(J50="Alta",0.8,IF(J50="Muy Alta",1,))))))</f>
        <v>1</v>
      </c>
      <c r="L50" s="339" t="s">
        <v>145</v>
      </c>
      <c r="M50" s="347">
        <f>IF(L50="","",IF(L50="Leve",0.2,IF(L50="Menor",0.4,IF(L50="Moderado",0.6,IF(L50="Mayor",0.8,IF(L50="Catastrófico",1,))))))</f>
        <v>0.8</v>
      </c>
      <c r="N50" s="357" t="str">
        <f>IF(OR(AND(J50="Muy Baja",L50="Leve"),AND(J50="Muy Baja",L50="Menor"),AND(J50="Baja",L50="Leve")),"Bajo",IF(OR(AND(J50="Muy baja",L50="Moderado"),AND(J50="Baja",L50="Menor"),AND(J50="Baja",L50="Moderado"),AND(J50="Media",L50="Leve"),AND(J50="Media",L50="Menor"),AND(J50="Media",L50="Moderado"),AND(J50="Alta",L50="Leve"),AND(J50="Alta",L50="Menor")),"Moderado",IF(OR(AND(J50="Muy Baja",L50="Mayor"),AND(J50="Baja",L50="Mayor"),AND(J50="Media",L50="Mayor"),AND(J50="Alta",L50="Moderado"),AND(J50="Alta",L50="Mayor"),AND(J50="Muy Alta",L50="Leve"),AND(J50="Muy Alta",L50="Menor"),AND(J50="Muy Alta",L50="Moderado"),AND(J50="Muy Alta",L50="Mayor")),"Alto",IF(OR(AND(J50="Muy Baja",L50="Catastrófico"),AND(J50="Baja",L50="Catastrófico"),AND(J50="Media",L50="Catastrófico"),AND(J50="Alta",L50="Catastrófico"),AND(J50="Muy Alta",L50="Catastrófico")),"Extremo",""))))</f>
        <v>Alto</v>
      </c>
      <c r="O50" s="25" t="s">
        <v>288</v>
      </c>
      <c r="P50" s="81" t="s">
        <v>289</v>
      </c>
      <c r="Q50" s="25" t="str">
        <f t="shared" si="5"/>
        <v>Probabilidad</v>
      </c>
      <c r="R50" s="73" t="s">
        <v>128</v>
      </c>
      <c r="S50" s="73" t="s">
        <v>129</v>
      </c>
      <c r="T50" s="26" t="str">
        <f t="shared" si="6"/>
        <v>30%</v>
      </c>
      <c r="U50" s="73" t="s">
        <v>162</v>
      </c>
      <c r="V50" s="73" t="s">
        <v>131</v>
      </c>
      <c r="W50" s="73" t="s">
        <v>132</v>
      </c>
      <c r="X50" s="76" t="s">
        <v>290</v>
      </c>
      <c r="Y50" s="59">
        <f>IFERROR(IF(Q50="Probabilidad",(K50-(+K50*T50)),IF(Q50="Impacto",K50,"")),"")</f>
        <v>0.7</v>
      </c>
      <c r="Z50" s="58" t="str">
        <f t="shared" si="7"/>
        <v>Alta</v>
      </c>
      <c r="AA50" s="26">
        <f t="shared" si="8"/>
        <v>0.7</v>
      </c>
      <c r="AB50" s="58" t="str">
        <f t="shared" si="9"/>
        <v>Mayor</v>
      </c>
      <c r="AC50" s="26">
        <f>IFERROR(IF(Q50="Impacto",(M50-(+M50*T50)),IF(Q50="Probabilidad",M50,"")),"")</f>
        <v>0.8</v>
      </c>
      <c r="AD50" s="339" t="str">
        <f>IFERROR(IF(AE50=0,"",IF(AND(AE50&gt;0,AE50&lt;=0.2),"Muy Baja",IF(AE50&lt;=0.4,"Baja",IF(AE50&lt;=0.6,"Media",IF(AE50&lt;=0.8,"Alta","Muy Alta"))))),"")</f>
        <v>Muy Baja</v>
      </c>
      <c r="AE50" s="341">
        <f>MIN(Y50:Y55)</f>
        <v>9.0719999999999995E-2</v>
      </c>
      <c r="AF50" s="339" t="str">
        <f>IFERROR(IF(AG50=0,"",IF(AND(AG50&gt;0,AG50&lt;=0.2),"Leve",IF(AG50&lt;=0.4,"Menor",IF(AG50&lt;=0.6,"Moderado",IF(AG50&lt;=0.8,"Mayor","Catastrófico"))))),"")</f>
        <v>Moderado</v>
      </c>
      <c r="AG50" s="341">
        <f>MIN(AC50:AC55)</f>
        <v>0.60000000000000009</v>
      </c>
      <c r="AH50" s="350" t="str">
        <f>IFERROR(IF(OR(AND(AD50="Muy Baja",AF50="Leve"),AND(AD50="Muy Baja",AF50="Menor"),AND(AD50="Baja",AF50="Leve")),"Bajo",IF(OR(AND(AD50="Muy Baja",AF50="Moderado"),AND(AD50="Baja",AF50="Menor"),AND(AD50="Baja",AF50="Moderado"),AND(AD50="Media",AF50="Leve"),AND(AD50="Media",AF50="Menor"),AND(AD50="Media",AF50="Moderado"),AND(AD50="Alta",AF50="Leve"),AND(AD50="Alta",AF50="Menor")),"Moderado",IF(OR(AND(AD50="Muy Baja",AF50="Mayor"),AND(AD50="Baja",AF50="Mayor"),AND(AD50="Media",AF50="Mayor"),AND(AD50="Alta",AF50="Moderado"),AND(AD50="Alta",AF50="Mayor"),AND(AD50="Muy Alta",AF50="Leve"),AND(AD50="Muy Alta",AF50="Menor"),AND(AD50="Muy Alta",AF50="Moderado"),AND(AD50="Muy Alta",AF50="Mayor")),"Alto",IF(OR(AND(AD50="Muy Baja",AF50="Catastrófico"),AND(AD50="Baja",AF50="Catastrófico"),AND(AD50="Media",AF50="Catastrófico"),AND(AD50="Alta",AF50="Catastrófico"),AND(AD50="Muy Alta",AF50="Catastrófico")),"Extremo","")))),"")</f>
        <v>Moderado</v>
      </c>
      <c r="AI50" s="352" t="s">
        <v>134</v>
      </c>
      <c r="AJ50" s="376" t="s">
        <v>291</v>
      </c>
      <c r="AK50" s="409" t="s">
        <v>689</v>
      </c>
      <c r="AL50" s="382" t="s">
        <v>708</v>
      </c>
      <c r="AM50" s="407" t="s">
        <v>689</v>
      </c>
      <c r="AN50" s="370" t="s">
        <v>746</v>
      </c>
      <c r="AO50" s="408" t="s">
        <v>682</v>
      </c>
      <c r="AP50" s="373"/>
      <c r="AQ50" s="408" t="s">
        <v>682</v>
      </c>
      <c r="AR50" s="373"/>
      <c r="AS50" s="60"/>
      <c r="AT50" s="60"/>
      <c r="AU50" s="60"/>
      <c r="AV50" s="60"/>
      <c r="AW50" s="60"/>
    </row>
    <row r="51" spans="1:60" ht="70.5" customHeight="1" x14ac:dyDescent="0.25">
      <c r="A51" s="331"/>
      <c r="B51" s="332"/>
      <c r="C51" s="332"/>
      <c r="D51" s="332"/>
      <c r="E51" s="332"/>
      <c r="F51" s="332"/>
      <c r="G51" s="334"/>
      <c r="H51" s="344"/>
      <c r="I51" s="346"/>
      <c r="J51" s="340"/>
      <c r="K51" s="347"/>
      <c r="L51" s="340"/>
      <c r="M51" s="347"/>
      <c r="N51" s="357"/>
      <c r="O51" s="25" t="s">
        <v>135</v>
      </c>
      <c r="P51" s="81" t="s">
        <v>292</v>
      </c>
      <c r="Q51" s="239" t="str">
        <f t="shared" si="5"/>
        <v>Probabilidad</v>
      </c>
      <c r="R51" s="240" t="s">
        <v>137</v>
      </c>
      <c r="S51" s="240" t="s">
        <v>129</v>
      </c>
      <c r="T51" s="241" t="str">
        <f t="shared" si="6"/>
        <v>40%</v>
      </c>
      <c r="U51" s="240" t="s">
        <v>130</v>
      </c>
      <c r="V51" s="240" t="s">
        <v>131</v>
      </c>
      <c r="W51" s="240" t="s">
        <v>132</v>
      </c>
      <c r="X51" s="91" t="s">
        <v>293</v>
      </c>
      <c r="Y51" s="59">
        <f>IFERROR(IF(AND(Q50="Probabilidad",Q51="Probabilidad"),(AA50-(+AA50*T51)),IF(Q51="Probabilidad",(K50-(+K50*T51)),IF(Q51="Impacto",AA50,""))),"")</f>
        <v>0.42</v>
      </c>
      <c r="Z51" s="58" t="str">
        <f t="shared" si="7"/>
        <v>Media</v>
      </c>
      <c r="AA51" s="26">
        <f t="shared" si="8"/>
        <v>0.42</v>
      </c>
      <c r="AB51" s="58" t="str">
        <f t="shared" si="9"/>
        <v>Mayor</v>
      </c>
      <c r="AC51" s="26">
        <f>IFERROR(IF(AND(Q50="Impacto",Q51="Impacto"),(AC50-(+AC50*T51)),IF(Q51="Impacto",(#REF!-(+#REF!*T51)),IF(Q51="Probabilidad",AC50,""))),"")</f>
        <v>0.8</v>
      </c>
      <c r="AD51" s="340"/>
      <c r="AE51" s="342"/>
      <c r="AF51" s="340"/>
      <c r="AG51" s="342"/>
      <c r="AH51" s="351"/>
      <c r="AI51" s="353"/>
      <c r="AJ51" s="377"/>
      <c r="AK51" s="380"/>
      <c r="AL51" s="383"/>
      <c r="AM51" s="386"/>
      <c r="AN51" s="371"/>
      <c r="AO51" s="374"/>
      <c r="AP51" s="374"/>
      <c r="AQ51" s="374"/>
      <c r="AR51" s="374"/>
      <c r="AS51" s="60"/>
      <c r="AT51" s="60"/>
      <c r="AU51" s="60"/>
      <c r="AV51" s="60"/>
      <c r="AW51" s="60"/>
    </row>
    <row r="52" spans="1:60" ht="108.75" customHeight="1" x14ac:dyDescent="0.25">
      <c r="A52" s="331"/>
      <c r="B52" s="332"/>
      <c r="C52" s="332"/>
      <c r="D52" s="332"/>
      <c r="E52" s="332"/>
      <c r="F52" s="332"/>
      <c r="G52" s="334"/>
      <c r="H52" s="343" t="s">
        <v>294</v>
      </c>
      <c r="I52" s="346"/>
      <c r="J52" s="340"/>
      <c r="K52" s="347"/>
      <c r="L52" s="340"/>
      <c r="M52" s="347"/>
      <c r="N52" s="357"/>
      <c r="O52" s="25" t="s">
        <v>295</v>
      </c>
      <c r="P52" s="81" t="s">
        <v>296</v>
      </c>
      <c r="Q52" s="25" t="str">
        <f t="shared" si="5"/>
        <v>Probabilidad</v>
      </c>
      <c r="R52" s="73" t="s">
        <v>137</v>
      </c>
      <c r="S52" s="73" t="s">
        <v>129</v>
      </c>
      <c r="T52" s="26" t="str">
        <f t="shared" si="6"/>
        <v>40%</v>
      </c>
      <c r="U52" s="73" t="s">
        <v>162</v>
      </c>
      <c r="V52" s="73" t="s">
        <v>131</v>
      </c>
      <c r="W52" s="73" t="s">
        <v>132</v>
      </c>
      <c r="X52" s="76" t="s">
        <v>297</v>
      </c>
      <c r="Y52" s="59">
        <f>IFERROR(IF(AND(Q51="Probabilidad",Q52="Probabilidad"),(AA51-(+AA51*T52)),IF(AND(Q51="Impacto",Q52="Probabilidad"),(AA50-(+AA50*T52)),IF(Q52="Impacto",AA51,""))),"")</f>
        <v>0.252</v>
      </c>
      <c r="Z52" s="58" t="str">
        <f t="shared" si="7"/>
        <v>Baja</v>
      </c>
      <c r="AA52" s="26">
        <f t="shared" si="8"/>
        <v>0.252</v>
      </c>
      <c r="AB52" s="58" t="str">
        <f t="shared" si="9"/>
        <v>Mayor</v>
      </c>
      <c r="AC52" s="26">
        <f>IFERROR(IF(AND(Q51="Impacto",Q52="Impacto"),(AC51-(+AC51*T52)),IF(AND(Q51="Probabilidad",Q52="Impacto"),(AC50-(+AC50*T52)),IF(Q52="Probabilidad",AC51,""))),"")</f>
        <v>0.8</v>
      </c>
      <c r="AD52" s="340"/>
      <c r="AE52" s="342"/>
      <c r="AF52" s="340"/>
      <c r="AG52" s="342"/>
      <c r="AH52" s="351"/>
      <c r="AI52" s="353"/>
      <c r="AJ52" s="377"/>
      <c r="AK52" s="380"/>
      <c r="AL52" s="383"/>
      <c r="AM52" s="386"/>
      <c r="AN52" s="371"/>
      <c r="AO52" s="374"/>
      <c r="AP52" s="374"/>
      <c r="AQ52" s="374"/>
      <c r="AR52" s="374"/>
      <c r="AS52" s="60"/>
      <c r="AT52" s="60"/>
      <c r="AU52" s="60"/>
      <c r="AV52" s="60"/>
      <c r="AW52" s="60"/>
    </row>
    <row r="53" spans="1:60" ht="125.4" customHeight="1" x14ac:dyDescent="0.25">
      <c r="A53" s="331"/>
      <c r="B53" s="332"/>
      <c r="C53" s="332"/>
      <c r="D53" s="332"/>
      <c r="E53" s="332"/>
      <c r="F53" s="332"/>
      <c r="G53" s="334"/>
      <c r="H53" s="360"/>
      <c r="I53" s="346"/>
      <c r="J53" s="340"/>
      <c r="K53" s="347"/>
      <c r="L53" s="340"/>
      <c r="M53" s="347"/>
      <c r="N53" s="357"/>
      <c r="O53" s="25" t="s">
        <v>298</v>
      </c>
      <c r="P53" s="81" t="s">
        <v>299</v>
      </c>
      <c r="Q53" s="25" t="str">
        <f t="shared" si="5"/>
        <v>Probabilidad</v>
      </c>
      <c r="R53" s="73" t="s">
        <v>137</v>
      </c>
      <c r="S53" s="73" t="s">
        <v>129</v>
      </c>
      <c r="T53" s="26" t="str">
        <f t="shared" si="6"/>
        <v>40%</v>
      </c>
      <c r="U53" s="73" t="s">
        <v>162</v>
      </c>
      <c r="V53" s="73" t="s">
        <v>131</v>
      </c>
      <c r="W53" s="73" t="s">
        <v>132</v>
      </c>
      <c r="X53" s="76" t="s">
        <v>300</v>
      </c>
      <c r="Y53" s="59">
        <f>IFERROR(IF(AND(Q52="Probabilidad",Q53="Probabilidad"),(AA52-(+AA52*T53)),IF(AND(Q52="Impacto",Q53="Probabilidad"),(AA51-(+AA51*T53)),IF(Q53="Impacto",AA52,""))),"")</f>
        <v>0.1512</v>
      </c>
      <c r="Z53" s="58" t="str">
        <f t="shared" si="7"/>
        <v>Muy Baja</v>
      </c>
      <c r="AA53" s="26">
        <f t="shared" si="8"/>
        <v>0.1512</v>
      </c>
      <c r="AB53" s="58" t="str">
        <f t="shared" si="9"/>
        <v>Mayor</v>
      </c>
      <c r="AC53" s="26">
        <f>IFERROR(IF(AND(Q52="Impacto",Q53="Impacto"),(AC52-(+AC52*T53)),IF(AND(Q52="Probabilidad",Q53="Impacto"),(AC51-(+AC51*T53)),IF(Q53="Probabilidad",AC52,""))),"")</f>
        <v>0.8</v>
      </c>
      <c r="AD53" s="340"/>
      <c r="AE53" s="342"/>
      <c r="AF53" s="340"/>
      <c r="AG53" s="342"/>
      <c r="AH53" s="351"/>
      <c r="AI53" s="353"/>
      <c r="AJ53" s="377"/>
      <c r="AK53" s="380"/>
      <c r="AL53" s="383"/>
      <c r="AM53" s="386"/>
      <c r="AN53" s="371"/>
      <c r="AO53" s="374"/>
      <c r="AP53" s="374"/>
      <c r="AQ53" s="374"/>
      <c r="AR53" s="374"/>
      <c r="AS53" s="60"/>
      <c r="AT53" s="60"/>
      <c r="AU53" s="60"/>
      <c r="AV53" s="60"/>
      <c r="AW53" s="60"/>
    </row>
    <row r="54" spans="1:60" ht="125.4" customHeight="1" x14ac:dyDescent="0.25">
      <c r="A54" s="331"/>
      <c r="B54" s="332"/>
      <c r="C54" s="332"/>
      <c r="D54" s="332"/>
      <c r="E54" s="332"/>
      <c r="F54" s="332"/>
      <c r="G54" s="334"/>
      <c r="H54" s="360"/>
      <c r="I54" s="346"/>
      <c r="J54" s="340"/>
      <c r="K54" s="347"/>
      <c r="L54" s="340"/>
      <c r="M54" s="347"/>
      <c r="N54" s="357"/>
      <c r="O54" s="25" t="s">
        <v>301</v>
      </c>
      <c r="P54" s="81" t="s">
        <v>302</v>
      </c>
      <c r="Q54" s="25" t="str">
        <f t="shared" si="5"/>
        <v>Probabilidad</v>
      </c>
      <c r="R54" s="73" t="s">
        <v>137</v>
      </c>
      <c r="S54" s="73" t="s">
        <v>129</v>
      </c>
      <c r="T54" s="26" t="str">
        <f t="shared" si="6"/>
        <v>40%</v>
      </c>
      <c r="U54" s="73" t="s">
        <v>162</v>
      </c>
      <c r="V54" s="73" t="s">
        <v>131</v>
      </c>
      <c r="W54" s="73" t="s">
        <v>132</v>
      </c>
      <c r="X54" s="76" t="s">
        <v>303</v>
      </c>
      <c r="Y54" s="59">
        <f>IFERROR(IF(AND(Q53="Probabilidad",Q54="Probabilidad"),(AA53-(+AA53*T54)),IF(AND(Q53="Impacto",Q54="Probabilidad"),(AA52-(+AA52*T54)),IF(Q54="Impacto",AA53,""))),"")</f>
        <v>9.0719999999999995E-2</v>
      </c>
      <c r="Z54" s="58" t="str">
        <f t="shared" si="7"/>
        <v>Muy Baja</v>
      </c>
      <c r="AA54" s="26">
        <f t="shared" si="8"/>
        <v>9.0719999999999995E-2</v>
      </c>
      <c r="AB54" s="58" t="str">
        <f t="shared" si="9"/>
        <v>Mayor</v>
      </c>
      <c r="AC54" s="26">
        <f>IFERROR(IF(AND(Q53="Impacto",Q54="Impacto"),(AC53-(+AC53*T54)),IF(AND(Q53="Probabilidad",Q54="Impacto"),(AC52-(+AC52*T54)),IF(Q54="Probabilidad",AC53,""))),"")</f>
        <v>0.8</v>
      </c>
      <c r="AD54" s="340"/>
      <c r="AE54" s="342"/>
      <c r="AF54" s="340"/>
      <c r="AG54" s="342"/>
      <c r="AH54" s="351"/>
      <c r="AI54" s="353"/>
      <c r="AJ54" s="377"/>
      <c r="AK54" s="380"/>
      <c r="AL54" s="383"/>
      <c r="AM54" s="386"/>
      <c r="AN54" s="371"/>
      <c r="AO54" s="374"/>
      <c r="AP54" s="374"/>
      <c r="AQ54" s="374"/>
      <c r="AR54" s="374"/>
      <c r="AS54" s="60"/>
      <c r="AT54" s="60"/>
      <c r="AU54" s="60"/>
      <c r="AV54" s="60"/>
      <c r="AW54" s="60"/>
    </row>
    <row r="55" spans="1:60" ht="195" customHeight="1" x14ac:dyDescent="0.25">
      <c r="A55" s="331"/>
      <c r="B55" s="332"/>
      <c r="C55" s="332"/>
      <c r="D55" s="332"/>
      <c r="E55" s="332"/>
      <c r="F55" s="332"/>
      <c r="G55" s="334"/>
      <c r="H55" s="90"/>
      <c r="I55" s="346"/>
      <c r="J55" s="340"/>
      <c r="K55" s="347"/>
      <c r="L55" s="340"/>
      <c r="M55" s="347"/>
      <c r="N55" s="357"/>
      <c r="O55" s="25">
        <v>3</v>
      </c>
      <c r="P55" s="81" t="s">
        <v>304</v>
      </c>
      <c r="Q55" s="25" t="str">
        <f t="shared" si="5"/>
        <v>Impacto</v>
      </c>
      <c r="R55" s="73" t="s">
        <v>152</v>
      </c>
      <c r="S55" s="73" t="s">
        <v>129</v>
      </c>
      <c r="T55" s="26" t="str">
        <f t="shared" si="6"/>
        <v>25%</v>
      </c>
      <c r="U55" s="73" t="s">
        <v>130</v>
      </c>
      <c r="V55" s="73" t="s">
        <v>147</v>
      </c>
      <c r="W55" s="73" t="s">
        <v>132</v>
      </c>
      <c r="X55" s="92" t="s">
        <v>305</v>
      </c>
      <c r="Y55" s="59">
        <f>IFERROR(IF(AND(Q54="Probabilidad",Q55="Probabilidad"),(AA54-(+AA54*T55)),IF(AND(Q54="Impacto",Q55="Probabilidad"),(AA53-(+AA53*T55)),IF(Q55="Impacto",AA54,""))),"")</f>
        <v>9.0719999999999995E-2</v>
      </c>
      <c r="Z55" s="58" t="str">
        <f t="shared" si="7"/>
        <v>Muy Baja</v>
      </c>
      <c r="AA55" s="26">
        <f t="shared" si="8"/>
        <v>9.0719999999999995E-2</v>
      </c>
      <c r="AB55" s="58" t="str">
        <f t="shared" si="9"/>
        <v>Moderado</v>
      </c>
      <c r="AC55" s="26">
        <f>IFERROR(IF(AND(Q54="Impacto",Q55="Impacto"),(AC54-(+AC54*T55)),IF(AND(Q54="Probabilidad",Q55="Impacto"),(AC53-(+AC53*T55)),IF(Q55="Probabilidad",AC54,""))),"")</f>
        <v>0.60000000000000009</v>
      </c>
      <c r="AD55" s="340"/>
      <c r="AE55" s="342"/>
      <c r="AF55" s="340"/>
      <c r="AG55" s="342"/>
      <c r="AH55" s="351"/>
      <c r="AI55" s="353"/>
      <c r="AJ55" s="378"/>
      <c r="AK55" s="381"/>
      <c r="AL55" s="384"/>
      <c r="AM55" s="387"/>
      <c r="AN55" s="372"/>
      <c r="AO55" s="375"/>
      <c r="AP55" s="375"/>
      <c r="AQ55" s="375"/>
      <c r="AR55" s="375"/>
      <c r="AS55" s="60"/>
      <c r="AT55" s="60"/>
      <c r="AU55" s="60"/>
      <c r="AV55" s="60"/>
      <c r="AW55" s="60"/>
    </row>
    <row r="56" spans="1:60" s="107" customFormat="1" ht="62.4" customHeight="1" x14ac:dyDescent="0.3">
      <c r="A56" s="331" t="s">
        <v>306</v>
      </c>
      <c r="B56" s="332" t="s">
        <v>307</v>
      </c>
      <c r="C56" s="332" t="s">
        <v>281</v>
      </c>
      <c r="D56" s="332" t="s">
        <v>308</v>
      </c>
      <c r="E56" s="332" t="s">
        <v>309</v>
      </c>
      <c r="F56" s="332" t="s">
        <v>310</v>
      </c>
      <c r="G56" s="332" t="s">
        <v>311</v>
      </c>
      <c r="H56" s="102" t="s">
        <v>312</v>
      </c>
      <c r="I56" s="332" t="s">
        <v>659</v>
      </c>
      <c r="J56" s="339" t="s">
        <v>124</v>
      </c>
      <c r="K56" s="410">
        <f>IF(J56="","",IF(J56="Muy Baja",0.2,IF(J56="Baja",0.4,IF(J56="Media",0.6,IF(J56="Alta",0.8,IF(J56="Muy Alta",1,))))))</f>
        <v>0.8</v>
      </c>
      <c r="L56" s="339" t="s">
        <v>125</v>
      </c>
      <c r="M56" s="410">
        <f>IF(L56="","",IF(L56="Leve",0.2,IF(L56="Menor",0.4,IF(L56="Moderado",0.6,IF(L56="Mayor",0.8,IF(L56="Catastrófico",1,))))))</f>
        <v>0.6</v>
      </c>
      <c r="N56" s="350" t="str">
        <f>IF(OR(AND(J56="Muy Baja",L56="Leve"),AND(J56="Muy Baja",L56="Menor"),AND(J56="Baja",L56="Leve")),"Bajo",IF(OR(AND(J56="Muy Baja",L56="Moderado"),AND(J56="Baja",L56="Menor"),AND(J56="Baja",L56="Moderado"),AND(J56="Media",L56="Leve"),AND(J56="Media",L56="Menor"),AND(J56="Media",L56="Moderado"),AND(J56="Alta",L56="Leve"),AND(J56="Alta",L56="Menor")),"Moderado",IF(OR(AND(J56="Muy Baja",L56="Mayor"),AND(J56="Baja",L56="Mayor"),AND(J56="Media",L56="Mayor"),AND(J56="Alta",L56="Moderado"),AND(J56="Alta",L56="Mayor"),AND(J56="Muy Alta",L56="Leve"),AND(J56="Muy Alta",L56="Menor"),AND(J56="Muy Alta",L56="Moderado"),AND(J56="Muy Alta",L56="Mayor")),"Alto",IF(OR(AND(J56="Muy Baja",L56="Catastrófico"),AND(J56="Baja",L56="Catastrófico"),AND(J56="Media",L56="Catastrófico"),AND(J56="Alta",L56="Catastrófico"),AND(J56="Muy Alta",L56="Catastrófico")),"Extremo",""))))</f>
        <v>Alto</v>
      </c>
      <c r="O56" s="103"/>
      <c r="P56" s="105" t="s">
        <v>313</v>
      </c>
      <c r="Q56" s="105" t="str">
        <f t="shared" si="5"/>
        <v>Probabilidad</v>
      </c>
      <c r="R56" s="73" t="s">
        <v>128</v>
      </c>
      <c r="S56" s="73" t="s">
        <v>314</v>
      </c>
      <c r="T56" s="26" t="str">
        <f t="shared" si="6"/>
        <v>30%</v>
      </c>
      <c r="U56" s="73" t="s">
        <v>130</v>
      </c>
      <c r="V56" s="73" t="s">
        <v>147</v>
      </c>
      <c r="W56" s="73" t="s">
        <v>132</v>
      </c>
      <c r="X56" s="25" t="s">
        <v>315</v>
      </c>
      <c r="Y56" s="59">
        <f>IFERROR(IF(Q56="Probabilidad",(K56-(+K56*T56)),IF(Q56="Impacto",K56,"")),"")</f>
        <v>0.56000000000000005</v>
      </c>
      <c r="Z56" s="58" t="str">
        <f t="shared" si="7"/>
        <v>Media</v>
      </c>
      <c r="AA56" s="26">
        <f t="shared" si="8"/>
        <v>0.56000000000000005</v>
      </c>
      <c r="AB56" s="58" t="str">
        <f t="shared" si="9"/>
        <v>Moderado</v>
      </c>
      <c r="AC56" s="26">
        <f>IFERROR(IF(Q56="Impacto",(M56-(+M56*T56)),IF(Q56="Probabilidad",M56,"")),"")</f>
        <v>0.6</v>
      </c>
      <c r="AD56" s="339" t="str">
        <f>IFERROR(IF(AE56=0,"",IF(AND(AE56&gt;0,AE56&lt;=0.2),"Muy Baja",IF(AE56&lt;=0.4,"Baja",IF(AE56&lt;=0.6,"Media",IF(AE56&lt;=0.8,"Alta","Muy Alta"))))),"")</f>
        <v>Baja</v>
      </c>
      <c r="AE56" s="341">
        <f>MIN(Y56:Y57)</f>
        <v>0.33600000000000002</v>
      </c>
      <c r="AF56" s="339" t="str">
        <f>IFERROR(IF(AG56=0,"",IF(AND(AG56&gt;0,AG56&lt;=0.2),"Leve",IF(AG56&lt;=0.4,"Menor",IF(AG56&lt;=0.6,"Moderado",IF(AG56&lt;=0.8,"Mayor","Catastrófico"))))),"")</f>
        <v>Moderado</v>
      </c>
      <c r="AG56" s="341">
        <f>MIN(AC56:AC57)</f>
        <v>0.6</v>
      </c>
      <c r="AH56" s="350" t="str">
        <f>IFERROR(IF(OR(AND(AD56="Muy Baja",AF56="Leve"),AND(AD56="Muy Baja",AF56="Menor"),AND(AD56="Baja",AF56="Leve")),"Bajo",IF(OR(AND(AD56="Muy Baja",AF56="Moderado"),AND(AD56="Baja",AF56="Menor"),AND(AD56="Baja",AF56="Moderado"),AND(AD56="Media",AF56="Leve"),AND(AD56="Media",AF56="Menor"),AND(AD56="Media",AF56="Moderado"),AND(AD56="Alta",AF56="Leve"),AND(AD56="Alta",AF56="Menor")),"Moderado",IF(OR(AND(AD56="Muy Baja",AF56="Mayor"),AND(AD56="Baja",AF56="Mayor"),AND(AD56="Media",AF56="Mayor"),AND(AD56="Alta",AF56="Moderado"),AND(AD56="Alta",AF56="Mayor"),AND(AD56="Muy Alta",AF56="Leve"),AND(AD56="Muy Alta",AF56="Menor"),AND(AD56="Muy Alta",AF56="Moderado"),AND(AD56="Muy Alta",AF56="Mayor")),"Alto",IF(OR(AND(AD56="Muy Baja",AF56="Catastrófico"),AND(AD56="Baja",AF56="Catastrófico"),AND(AD56="Media",AF56="Catastrófico"),AND(AD56="Alta",AF56="Catastrófico"),AND(AD56="Muy Alta",AF56="Catastrófico")),"Extremo","")))),"")</f>
        <v>Moderado</v>
      </c>
      <c r="AI56" s="414" t="s">
        <v>134</v>
      </c>
      <c r="AJ56" s="106" t="s">
        <v>316</v>
      </c>
      <c r="AK56" s="417" t="s">
        <v>690</v>
      </c>
      <c r="AL56" s="382" t="s">
        <v>708</v>
      </c>
      <c r="AM56" s="417" t="s">
        <v>690</v>
      </c>
      <c r="AN56" s="382" t="s">
        <v>747</v>
      </c>
      <c r="AO56" s="413" t="s">
        <v>682</v>
      </c>
      <c r="AP56" s="373"/>
      <c r="AQ56" s="413" t="s">
        <v>682</v>
      </c>
      <c r="AR56" s="373"/>
      <c r="AS56" s="71"/>
      <c r="AT56" s="71"/>
      <c r="AU56" s="71"/>
      <c r="AV56" s="71"/>
      <c r="AW56" s="71"/>
      <c r="AX56" s="71"/>
      <c r="AY56" s="71"/>
    </row>
    <row r="57" spans="1:60" s="107" customFormat="1" ht="56.4" customHeight="1" x14ac:dyDescent="0.3">
      <c r="A57" s="331"/>
      <c r="B57" s="332"/>
      <c r="C57" s="332"/>
      <c r="D57" s="332"/>
      <c r="E57" s="332"/>
      <c r="F57" s="332"/>
      <c r="G57" s="333"/>
      <c r="H57" s="102" t="s">
        <v>317</v>
      </c>
      <c r="I57" s="332"/>
      <c r="J57" s="340"/>
      <c r="K57" s="411"/>
      <c r="L57" s="340"/>
      <c r="M57" s="411"/>
      <c r="N57" s="351"/>
      <c r="O57" s="103"/>
      <c r="P57" s="105" t="s">
        <v>318</v>
      </c>
      <c r="Q57" s="105" t="str">
        <f t="shared" si="5"/>
        <v>Probabilidad</v>
      </c>
      <c r="R57" s="73" t="s">
        <v>137</v>
      </c>
      <c r="S57" s="73" t="s">
        <v>314</v>
      </c>
      <c r="T57" s="26" t="str">
        <f t="shared" si="6"/>
        <v>40%</v>
      </c>
      <c r="U57" s="73" t="s">
        <v>130</v>
      </c>
      <c r="V57" s="73" t="s">
        <v>147</v>
      </c>
      <c r="W57" s="73" t="s">
        <v>132</v>
      </c>
      <c r="X57" s="78" t="s">
        <v>319</v>
      </c>
      <c r="Y57" s="59">
        <f>IFERROR(IF(AND(Q56="Probabilidad",Q57="Probabilidad"),(AA56-(+AA56*T57)),IF(Q57="Probabilidad",(K56-(+K56*T57)),IF(Q57="Impacto",AA56,""))),"")</f>
        <v>0.33600000000000002</v>
      </c>
      <c r="Z57" s="58" t="str">
        <f t="shared" si="7"/>
        <v>Baja</v>
      </c>
      <c r="AA57" s="26">
        <f t="shared" si="8"/>
        <v>0.33600000000000002</v>
      </c>
      <c r="AB57" s="58" t="str">
        <f t="shared" si="9"/>
        <v>Moderado</v>
      </c>
      <c r="AC57" s="26">
        <f>IFERROR(IF(AND(Q56="Impacto",Q57="Impacto"),(AC56-(+AC56*T57)),IF(Q57="Impacto",(#REF!-(+#REF!*T57)),IF(Q57="Probabilidad",AC56,""))),"")</f>
        <v>0.6</v>
      </c>
      <c r="AD57" s="340"/>
      <c r="AE57" s="342"/>
      <c r="AF57" s="340"/>
      <c r="AG57" s="342"/>
      <c r="AH57" s="351"/>
      <c r="AI57" s="415"/>
      <c r="AJ57" s="106" t="s">
        <v>320</v>
      </c>
      <c r="AK57" s="380"/>
      <c r="AL57" s="383"/>
      <c r="AM57" s="380"/>
      <c r="AN57" s="383"/>
      <c r="AO57" s="374"/>
      <c r="AP57" s="374"/>
      <c r="AQ57" s="374"/>
      <c r="AR57" s="374"/>
      <c r="AS57" s="71"/>
      <c r="AT57" s="71"/>
      <c r="AU57" s="71"/>
      <c r="AV57" s="71"/>
      <c r="AW57" s="71"/>
      <c r="AX57" s="71"/>
      <c r="AY57" s="71"/>
    </row>
    <row r="58" spans="1:60" s="107" customFormat="1" ht="32.4" customHeight="1" x14ac:dyDescent="0.3">
      <c r="A58" s="331"/>
      <c r="B58" s="332"/>
      <c r="C58" s="332"/>
      <c r="D58" s="332"/>
      <c r="E58" s="332"/>
      <c r="F58" s="332"/>
      <c r="G58" s="333"/>
      <c r="H58" s="102" t="s">
        <v>321</v>
      </c>
      <c r="I58" s="332"/>
      <c r="J58" s="340"/>
      <c r="K58" s="411"/>
      <c r="L58" s="340"/>
      <c r="M58" s="411"/>
      <c r="N58" s="351"/>
      <c r="O58" s="103"/>
      <c r="P58" s="105" t="s">
        <v>322</v>
      </c>
      <c r="Q58" s="105" t="str">
        <f t="shared" si="5"/>
        <v>Probabilidad</v>
      </c>
      <c r="R58" s="73" t="s">
        <v>137</v>
      </c>
      <c r="S58" s="73" t="s">
        <v>314</v>
      </c>
      <c r="T58" s="26" t="str">
        <f t="shared" si="6"/>
        <v>40%</v>
      </c>
      <c r="U58" s="73" t="s">
        <v>130</v>
      </c>
      <c r="V58" s="73" t="s">
        <v>147</v>
      </c>
      <c r="W58" s="73" t="s">
        <v>167</v>
      </c>
      <c r="X58" s="25" t="s">
        <v>226</v>
      </c>
      <c r="Y58" s="59">
        <f>IFERROR(IF(AND(Q57="Probabilidad",Q58="Probabilidad"),(AA57-(+AA57*T58)),IF(AND(Q57="Impacto",Q58="Probabilidad"),(AA56-(+AA56*T58)),IF(Q58="Impacto",AA57,""))),"")</f>
        <v>0.2016</v>
      </c>
      <c r="Z58" s="58" t="str">
        <f t="shared" si="7"/>
        <v>Baja</v>
      </c>
      <c r="AA58" s="26">
        <f t="shared" si="8"/>
        <v>0.2016</v>
      </c>
      <c r="AB58" s="58" t="str">
        <f t="shared" si="9"/>
        <v>Moderado</v>
      </c>
      <c r="AC58" s="26">
        <f>IFERROR(IF(AND(Q57="Impacto",Q58="Impacto"),(AC57-(+AC57*T58)),IF(AND(Q57="Probabilidad",Q58="Impacto"),(AC56-(+AC56*T58)),IF(Q58="Probabilidad",AC57,""))),"")</f>
        <v>0.6</v>
      </c>
      <c r="AD58" s="340"/>
      <c r="AE58" s="342"/>
      <c r="AF58" s="340"/>
      <c r="AG58" s="342"/>
      <c r="AH58" s="351"/>
      <c r="AI58" s="415"/>
      <c r="AJ58" s="108"/>
      <c r="AK58" s="380"/>
      <c r="AL58" s="383"/>
      <c r="AM58" s="380"/>
      <c r="AN58" s="383"/>
      <c r="AO58" s="374"/>
      <c r="AP58" s="374"/>
      <c r="AQ58" s="374"/>
      <c r="AR58" s="374"/>
      <c r="AS58" s="71"/>
      <c r="AT58" s="71"/>
      <c r="AU58" s="71"/>
      <c r="AV58" s="71"/>
      <c r="AW58" s="71"/>
      <c r="AX58" s="71"/>
      <c r="AY58" s="71"/>
    </row>
    <row r="59" spans="1:60" s="107" customFormat="1" ht="269.39999999999998" customHeight="1" x14ac:dyDescent="0.3">
      <c r="A59" s="331"/>
      <c r="B59" s="332"/>
      <c r="C59" s="332"/>
      <c r="D59" s="332"/>
      <c r="E59" s="332"/>
      <c r="F59" s="332"/>
      <c r="G59" s="333"/>
      <c r="H59" s="102"/>
      <c r="I59" s="332"/>
      <c r="J59" s="340"/>
      <c r="K59" s="412"/>
      <c r="L59" s="340"/>
      <c r="M59" s="412"/>
      <c r="N59" s="418"/>
      <c r="O59" s="103"/>
      <c r="P59" s="105" t="s">
        <v>323</v>
      </c>
      <c r="Q59" s="105" t="str">
        <f t="shared" si="5"/>
        <v>Impacto</v>
      </c>
      <c r="R59" s="73" t="s">
        <v>152</v>
      </c>
      <c r="S59" s="73" t="s">
        <v>314</v>
      </c>
      <c r="T59" s="26" t="str">
        <f t="shared" si="6"/>
        <v>25%</v>
      </c>
      <c r="U59" s="73" t="s">
        <v>130</v>
      </c>
      <c r="V59" s="73"/>
      <c r="W59" s="73" t="s">
        <v>132</v>
      </c>
      <c r="X59" s="25" t="s">
        <v>324</v>
      </c>
      <c r="Y59" s="59">
        <f>IFERROR(IF(AND(Q58="Probabilidad",Q59="Probabilidad"),(AA58-(+AA58*T59)),IF(AND(Q58="Impacto",Q59="Probabilidad"),(AA57-(+AA57*T59)),IF(Q59="Impacto",AA58,""))),"")</f>
        <v>0.2016</v>
      </c>
      <c r="Z59" s="58" t="str">
        <f t="shared" si="7"/>
        <v>Baja</v>
      </c>
      <c r="AA59" s="26">
        <f t="shared" si="8"/>
        <v>0.2016</v>
      </c>
      <c r="AB59" s="58" t="str">
        <f t="shared" si="9"/>
        <v>Moderado</v>
      </c>
      <c r="AC59" s="26">
        <f>IFERROR(IF(AND(Q58="Impacto",Q59="Impacto"),(AC58-(+AC58*T59)),IF(AND(Q58="Probabilidad",Q59="Impacto"),(AC57-(+AC57*T59)),IF(Q59="Probabilidad",AC58,""))),"")</f>
        <v>0.44999999999999996</v>
      </c>
      <c r="AD59" s="419"/>
      <c r="AE59" s="420"/>
      <c r="AF59" s="419"/>
      <c r="AG59" s="420"/>
      <c r="AH59" s="418"/>
      <c r="AI59" s="416"/>
      <c r="AJ59" s="108"/>
      <c r="AK59" s="381"/>
      <c r="AL59" s="384"/>
      <c r="AM59" s="381"/>
      <c r="AN59" s="384"/>
      <c r="AO59" s="375"/>
      <c r="AP59" s="375"/>
      <c r="AQ59" s="375"/>
      <c r="AR59" s="375"/>
      <c r="AS59" s="71"/>
      <c r="AT59" s="71"/>
      <c r="AU59" s="71"/>
      <c r="AV59" s="71"/>
      <c r="AW59" s="71"/>
      <c r="AX59" s="71"/>
      <c r="AY59" s="71"/>
    </row>
    <row r="60" spans="1:60" ht="101.4" customHeight="1" x14ac:dyDescent="0.25">
      <c r="A60" s="352" t="s">
        <v>325</v>
      </c>
      <c r="B60" s="332" t="s">
        <v>326</v>
      </c>
      <c r="C60" s="332" t="s">
        <v>281</v>
      </c>
      <c r="D60" s="345" t="s">
        <v>327</v>
      </c>
      <c r="E60" s="345" t="s">
        <v>328</v>
      </c>
      <c r="F60" s="345" t="s">
        <v>329</v>
      </c>
      <c r="G60" s="343" t="s">
        <v>330</v>
      </c>
      <c r="H60" s="343" t="s">
        <v>331</v>
      </c>
      <c r="I60" s="345" t="s">
        <v>658</v>
      </c>
      <c r="J60" s="339" t="s">
        <v>332</v>
      </c>
      <c r="K60" s="347">
        <f>IF(J60="","",IF(J60="Muy Baja",0.2,IF(J60="Baja",0.4,IF(J60="Media",0.6,IF(J60="Alta",0.8,IF(J60="Muy Alta",1,))))))</f>
        <v>0.4</v>
      </c>
      <c r="L60" s="339" t="s">
        <v>145</v>
      </c>
      <c r="M60" s="347">
        <f>IF(L60="","",IF(L60="Leve",0.2,IF(L60="Menor",0.4,IF(L60="Moderado",0.6,IF(L60="Mayor",0.8,IF(L60="Catastrófico",1,))))))</f>
        <v>0.8</v>
      </c>
      <c r="N60" s="357" t="str">
        <f>IF(OR(AND(J60="Muy Baja",L60="Leve"),AND(J60="Muy Baja",L60="Menor"),AND(J60="Baja",L60="Leve")),"Bajo",IF(OR(AND(J60="Muy baja",L60="Moderado"),AND(J60="Baja",L60="Menor"),AND(J60="Baja",L60="Moderado"),AND(J60="Media",L60="Leve"),AND(J60="Media",L60="Menor"),AND(J60="Media",L60="Moderado"),AND(J60="Alta",L60="Leve"),AND(J60="Alta",L60="Menor")),"Moderado",IF(OR(AND(J60="Muy Baja",L60="Mayor"),AND(J60="Baja",L60="Mayor"),AND(J60="Media",L60="Mayor"),AND(J60="Alta",L60="Moderado"),AND(J60="Alta",L60="Mayor"),AND(J60="Muy Alta",L60="Leve"),AND(J60="Muy Alta",L60="Menor"),AND(J60="Muy Alta",L60="Moderado"),AND(J60="Muy Alta",L60="Mayor")),"Alto",IF(OR(AND(J60="Muy Baja",L60="Catastrófico"),AND(J60="Baja",L60="Catastrófico"),AND(J60="Media",L60="Catastrófico"),AND(J60="Alta",L60="Catastrófico"),AND(J60="Muy Alta",L60="Catastrófico")),"Extremo",""))))</f>
        <v>Alto</v>
      </c>
      <c r="O60" s="25" t="s">
        <v>333</v>
      </c>
      <c r="P60" s="77" t="s">
        <v>334</v>
      </c>
      <c r="Q60" s="25" t="str">
        <f t="shared" si="5"/>
        <v>Impacto</v>
      </c>
      <c r="R60" s="73" t="s">
        <v>152</v>
      </c>
      <c r="S60" s="73" t="s">
        <v>129</v>
      </c>
      <c r="T60" s="26" t="str">
        <f t="shared" si="6"/>
        <v>25%</v>
      </c>
      <c r="U60" s="73" t="s">
        <v>130</v>
      </c>
      <c r="V60" s="73" t="s">
        <v>147</v>
      </c>
      <c r="W60" s="73" t="s">
        <v>167</v>
      </c>
      <c r="X60" s="25" t="s">
        <v>226</v>
      </c>
      <c r="Y60" s="59">
        <f>IFERROR(IF(Q60="Probabilidad",(K60-(+K60*T60)),IF(Q60="Impacto",K60,"")),"")</f>
        <v>0.4</v>
      </c>
      <c r="Z60" s="58" t="str">
        <f t="shared" si="7"/>
        <v>Baja</v>
      </c>
      <c r="AA60" s="26">
        <f t="shared" si="8"/>
        <v>0.4</v>
      </c>
      <c r="AB60" s="58" t="str">
        <f t="shared" si="9"/>
        <v>Moderado</v>
      </c>
      <c r="AC60" s="26">
        <f>IFERROR(IF(Q60="Impacto",(M60-(+M60*T60)),IF(Q60="Probabilidad",M60,"")),"")</f>
        <v>0.60000000000000009</v>
      </c>
      <c r="AD60" s="339" t="str">
        <f>IFERROR(IF(AE60=0,"",IF(AND(AE60&gt;0,AE60&lt;=0.2),"Muy Baja",IF(AE60&lt;=0.4,"Baja",IF(AE60&lt;=0.6,"Media",IF(AE60&lt;=0.8,"Alta","Muy Alta"))))),"")</f>
        <v>Muy Baja</v>
      </c>
      <c r="AE60" s="341">
        <f>MIN(Y60:Y63)</f>
        <v>0.14399999999999999</v>
      </c>
      <c r="AF60" s="339" t="str">
        <f>IFERROR(IF(AG60=0,"",IF(AND(AG60&gt;0,AG60&lt;=0.2),"Leve",IF(AG60&lt;=0.4,"Menor",IF(AG60&lt;=0.6,"Moderado",IF(AG60&lt;=0.8,"Mayor","Catastrófico"))))),"")</f>
        <v>Moderado</v>
      </c>
      <c r="AG60" s="341">
        <f>MIN(AC60:AC63)</f>
        <v>0.45000000000000007</v>
      </c>
      <c r="AH60" s="350" t="str">
        <f>IFERROR(IF(OR(AND(AD60="Muy Baja",AF60="Leve"),AND(AD60="Muy Baja",AF60="Menor"),AND(AD60="Baja",AF60="Leve")),"Bajo",IF(OR(AND(AD60="Muy Baja",AF60="Moderado"),AND(AD60="Baja",AF60="Menor"),AND(AD60="Baja",AF60="Moderado"),AND(AD60="Media",AF60="Leve"),AND(AD60="Media",AF60="Menor"),AND(AD60="Media",AF60="Moderado"),AND(AD60="Alta",AF60="Leve"),AND(AD60="Alta",AF60="Menor")),"Moderado",IF(OR(AND(AD60="Muy Baja",AF60="Mayor"),AND(AD60="Baja",AF60="Mayor"),AND(AD60="Media",AF60="Mayor"),AND(AD60="Alta",AF60="Moderado"),AND(AD60="Alta",AF60="Mayor"),AND(AD60="Muy Alta",AF60="Leve"),AND(AD60="Muy Alta",AF60="Menor"),AND(AD60="Muy Alta",AF60="Moderado"),AND(AD60="Muy Alta",AF60="Mayor")),"Alto",IF(OR(AND(AD60="Muy Baja",AF60="Catastrófico"),AND(AD60="Baja",AF60="Catastrófico"),AND(AD60="Media",AF60="Catastrófico"),AND(AD60="Alta",AF60="Catastrófico"),AND(AD60="Muy Alta",AF60="Catastrófico")),"Extremo","")))),"")</f>
        <v>Moderado</v>
      </c>
      <c r="AI60" s="352" t="s">
        <v>134</v>
      </c>
      <c r="AJ60" s="79"/>
      <c r="AK60" s="379" t="s">
        <v>691</v>
      </c>
      <c r="AL60" s="398" t="s">
        <v>708</v>
      </c>
      <c r="AM60" s="379" t="s">
        <v>691</v>
      </c>
      <c r="AN60" s="404" t="s">
        <v>748</v>
      </c>
      <c r="AO60" s="373" t="s">
        <v>682</v>
      </c>
      <c r="AP60" s="389"/>
      <c r="AQ60" s="373" t="s">
        <v>682</v>
      </c>
      <c r="AR60" s="389"/>
      <c r="AS60" s="60"/>
      <c r="AT60" s="60"/>
      <c r="AU60" s="60"/>
      <c r="AV60" s="60"/>
      <c r="AW60" s="60"/>
      <c r="AX60" s="60"/>
      <c r="AY60" s="60"/>
    </row>
    <row r="61" spans="1:60" ht="80.400000000000006" customHeight="1" x14ac:dyDescent="0.25">
      <c r="A61" s="353"/>
      <c r="B61" s="332"/>
      <c r="C61" s="332"/>
      <c r="D61" s="346"/>
      <c r="E61" s="346"/>
      <c r="F61" s="346"/>
      <c r="G61" s="360"/>
      <c r="H61" s="344"/>
      <c r="I61" s="346"/>
      <c r="J61" s="340"/>
      <c r="K61" s="347"/>
      <c r="L61" s="340"/>
      <c r="M61" s="347"/>
      <c r="N61" s="357"/>
      <c r="O61" s="25" t="s">
        <v>335</v>
      </c>
      <c r="P61" s="105" t="s">
        <v>336</v>
      </c>
      <c r="Q61" s="105" t="str">
        <f t="shared" si="5"/>
        <v>Probabilidad</v>
      </c>
      <c r="R61" s="73" t="s">
        <v>137</v>
      </c>
      <c r="S61" s="73" t="s">
        <v>314</v>
      </c>
      <c r="T61" s="26" t="str">
        <f t="shared" si="6"/>
        <v>40%</v>
      </c>
      <c r="U61" s="73" t="s">
        <v>130</v>
      </c>
      <c r="V61" s="73" t="s">
        <v>147</v>
      </c>
      <c r="W61" s="73" t="s">
        <v>132</v>
      </c>
      <c r="X61" s="78" t="s">
        <v>319</v>
      </c>
      <c r="Y61" s="59">
        <f>IFERROR(IF(AND(Q60="Probabilidad",Q61="Probabilidad"),(AA60-(+AA60*T61)),IF(Q61="Probabilidad",(K60-(+K60*T61)),IF(Q61="Impacto",AA60,""))),"")</f>
        <v>0.24</v>
      </c>
      <c r="Z61" s="58" t="str">
        <f t="shared" si="7"/>
        <v>Baja</v>
      </c>
      <c r="AA61" s="26">
        <f t="shared" si="8"/>
        <v>0.24</v>
      </c>
      <c r="AB61" s="58" t="str">
        <f t="shared" si="9"/>
        <v>Moderado</v>
      </c>
      <c r="AC61" s="26">
        <f>IFERROR(IF(AND(Q60="Impacto",Q61="Impacto"),(AC60-(+AC60*T61)),IF(Q61="Impacto",(#REF!-(+#REF!*T61)),IF(Q61="Probabilidad",AC60,""))),"")</f>
        <v>0.60000000000000009</v>
      </c>
      <c r="AD61" s="340"/>
      <c r="AE61" s="342"/>
      <c r="AF61" s="340"/>
      <c r="AG61" s="342"/>
      <c r="AH61" s="351"/>
      <c r="AI61" s="353"/>
      <c r="AJ61" s="79"/>
      <c r="AK61" s="380"/>
      <c r="AL61" s="399"/>
      <c r="AM61" s="380"/>
      <c r="AN61" s="405"/>
      <c r="AO61" s="374"/>
      <c r="AP61" s="390"/>
      <c r="AQ61" s="374"/>
      <c r="AR61" s="390"/>
      <c r="AS61" s="60"/>
      <c r="AT61" s="60"/>
      <c r="AU61" s="60"/>
      <c r="AV61" s="60"/>
      <c r="AW61" s="60"/>
      <c r="AX61" s="60"/>
      <c r="AY61" s="60"/>
    </row>
    <row r="62" spans="1:60" ht="82.2" customHeight="1" x14ac:dyDescent="0.25">
      <c r="A62" s="353"/>
      <c r="B62" s="332"/>
      <c r="C62" s="332"/>
      <c r="D62" s="346"/>
      <c r="E62" s="346"/>
      <c r="F62" s="346"/>
      <c r="G62" s="360"/>
      <c r="H62" s="101" t="s">
        <v>337</v>
      </c>
      <c r="I62" s="346"/>
      <c r="J62" s="340"/>
      <c r="K62" s="347"/>
      <c r="L62" s="340"/>
      <c r="M62" s="347"/>
      <c r="N62" s="357"/>
      <c r="O62" s="25">
        <v>2</v>
      </c>
      <c r="P62" s="77" t="s">
        <v>338</v>
      </c>
      <c r="Q62" s="25" t="str">
        <f t="shared" si="5"/>
        <v>Probabilidad</v>
      </c>
      <c r="R62" s="73" t="s">
        <v>137</v>
      </c>
      <c r="S62" s="73" t="s">
        <v>129</v>
      </c>
      <c r="T62" s="26" t="str">
        <f t="shared" si="6"/>
        <v>40%</v>
      </c>
      <c r="U62" s="73" t="s">
        <v>162</v>
      </c>
      <c r="V62" s="73" t="s">
        <v>147</v>
      </c>
      <c r="W62" s="73" t="s">
        <v>132</v>
      </c>
      <c r="X62" s="25" t="s">
        <v>339</v>
      </c>
      <c r="Y62" s="59">
        <f>IFERROR(IF(AND(Q61="Probabilidad",Q62="Probabilidad"),(AA61-(+AA61*T62)),IF(AND(Q61="Impacto",Q62="Probabilidad"),(AA60-(+AA60*T62)),IF(Q62="Impacto",AA61,""))),"")</f>
        <v>0.14399999999999999</v>
      </c>
      <c r="Z62" s="58" t="str">
        <f t="shared" si="7"/>
        <v>Muy Baja</v>
      </c>
      <c r="AA62" s="26">
        <f t="shared" si="8"/>
        <v>0.14399999999999999</v>
      </c>
      <c r="AB62" s="58" t="str">
        <f t="shared" si="9"/>
        <v>Moderado</v>
      </c>
      <c r="AC62" s="26">
        <f>IFERROR(IF(AND(Q61="Impacto",Q62="Impacto"),(AC61-(+AC61*T62)),IF(AND(Q61="Probabilidad",Q62="Impacto"),(AC60-(+AC60*T62)),IF(Q62="Probabilidad",AC61,""))),"")</f>
        <v>0.60000000000000009</v>
      </c>
      <c r="AD62" s="340"/>
      <c r="AE62" s="342"/>
      <c r="AF62" s="340"/>
      <c r="AG62" s="342"/>
      <c r="AH62" s="351"/>
      <c r="AI62" s="353"/>
      <c r="AJ62" s="80"/>
      <c r="AK62" s="380"/>
      <c r="AL62" s="399"/>
      <c r="AM62" s="380"/>
      <c r="AN62" s="405"/>
      <c r="AO62" s="374"/>
      <c r="AP62" s="390"/>
      <c r="AQ62" s="374"/>
      <c r="AR62" s="390"/>
      <c r="AS62" s="60"/>
      <c r="AT62" s="60"/>
      <c r="AU62" s="60"/>
      <c r="AV62" s="60"/>
      <c r="AW62" s="60"/>
      <c r="AX62" s="60"/>
      <c r="AY62" s="60"/>
    </row>
    <row r="63" spans="1:60" ht="75" customHeight="1" x14ac:dyDescent="0.25">
      <c r="A63" s="353"/>
      <c r="B63" s="332"/>
      <c r="C63" s="332"/>
      <c r="D63" s="346"/>
      <c r="E63" s="346"/>
      <c r="F63" s="346"/>
      <c r="G63" s="360"/>
      <c r="H63" s="109"/>
      <c r="I63" s="346"/>
      <c r="J63" s="340"/>
      <c r="K63" s="347"/>
      <c r="L63" s="340"/>
      <c r="M63" s="347"/>
      <c r="N63" s="357"/>
      <c r="O63" s="25">
        <v>3</v>
      </c>
      <c r="P63" s="77" t="s">
        <v>340</v>
      </c>
      <c r="Q63" s="25" t="str">
        <f t="shared" si="5"/>
        <v>Impacto</v>
      </c>
      <c r="R63" s="73" t="s">
        <v>152</v>
      </c>
      <c r="S63" s="73" t="s">
        <v>129</v>
      </c>
      <c r="T63" s="26" t="str">
        <f t="shared" si="6"/>
        <v>25%</v>
      </c>
      <c r="U63" s="73" t="s">
        <v>162</v>
      </c>
      <c r="V63" s="73" t="s">
        <v>147</v>
      </c>
      <c r="W63" s="73" t="s">
        <v>132</v>
      </c>
      <c r="X63" s="78" t="s">
        <v>341</v>
      </c>
      <c r="Y63" s="59">
        <f>IFERROR(IF(AND(Q62="Probabilidad",Q63="Probabilidad"),(AA62-(+AA62*T63)),IF(AND(Q62="Impacto",Q63="Probabilidad"),(AA61-(+AA61*T63)),IF(Q63="Impacto",AA62,""))),"")</f>
        <v>0.14399999999999999</v>
      </c>
      <c r="Z63" s="58" t="str">
        <f t="shared" si="7"/>
        <v>Muy Baja</v>
      </c>
      <c r="AA63" s="26">
        <f t="shared" si="8"/>
        <v>0.14399999999999999</v>
      </c>
      <c r="AB63" s="58" t="str">
        <f t="shared" si="9"/>
        <v>Moderado</v>
      </c>
      <c r="AC63" s="26">
        <f>IFERROR(IF(AND(Q62="Impacto",Q63="Impacto"),(AC62-(+AC62*T63)),IF(AND(Q62="Probabilidad",Q63="Impacto"),(AC61-(+AC61*T63)),IF(Q63="Probabilidad",AC62,""))),"")</f>
        <v>0.45000000000000007</v>
      </c>
      <c r="AD63" s="340"/>
      <c r="AE63" s="342"/>
      <c r="AF63" s="340"/>
      <c r="AG63" s="342"/>
      <c r="AH63" s="351"/>
      <c r="AI63" s="353"/>
      <c r="AJ63" s="80"/>
      <c r="AK63" s="380"/>
      <c r="AL63" s="399"/>
      <c r="AM63" s="380"/>
      <c r="AN63" s="405"/>
      <c r="AO63" s="374"/>
      <c r="AP63" s="390"/>
      <c r="AQ63" s="374"/>
      <c r="AR63" s="390"/>
      <c r="AS63" s="60"/>
      <c r="AT63" s="60"/>
      <c r="AU63" s="60"/>
      <c r="AV63" s="60"/>
      <c r="AW63" s="60"/>
      <c r="AX63" s="60"/>
      <c r="AY63" s="60"/>
    </row>
    <row r="64" spans="1:60" ht="106.95" customHeight="1" x14ac:dyDescent="0.25">
      <c r="A64" s="352" t="s">
        <v>342</v>
      </c>
      <c r="B64" s="345" t="s">
        <v>343</v>
      </c>
      <c r="C64" s="345" t="s">
        <v>281</v>
      </c>
      <c r="D64" s="345" t="s">
        <v>327</v>
      </c>
      <c r="E64" s="345" t="s">
        <v>344</v>
      </c>
      <c r="F64" s="345" t="s">
        <v>345</v>
      </c>
      <c r="G64" s="343" t="s">
        <v>346</v>
      </c>
      <c r="H64" s="84" t="s">
        <v>347</v>
      </c>
      <c r="I64" s="345" t="s">
        <v>658</v>
      </c>
      <c r="J64" s="339" t="s">
        <v>124</v>
      </c>
      <c r="K64" s="410">
        <f>IF(J64="","",IF(J64="Muy Baja",0.2,IF(J64="Baja",0.4,IF(J64="Media",0.6,IF(J64="Alta",0.8,IF(J64="Muy Alta",1,))))))</f>
        <v>0.8</v>
      </c>
      <c r="L64" s="339" t="s">
        <v>145</v>
      </c>
      <c r="M64" s="410">
        <f>IF(L64="","",IF(L64="Leve",0.2,IF(L64="Menor",0.4,IF(L64="Moderado",0.6,IF(L64="Mayor",0.8,IF(L64="Catastrófico",1,))))))</f>
        <v>0.8</v>
      </c>
      <c r="N64" s="350" t="str">
        <f>IF(OR(AND(J64="Muy Baja",L64="Leve"),AND(J64="Muy Baja",L64="Menor"),AND(J64="Baja",L64="Leve")),"Bajo",IF(OR(AND(J64="Muy baja",L64="Moderado"),AND(J64="Baja",L64="Menor"),AND(J64="Baja",L64="Moderado"),AND(J64="Media",L64="Leve"),AND(J64="Media",L64="Menor"),AND(J64="Media",L64="Moderado"),AND(J64="Alta",L64="Leve"),AND(J64="Alta",L64="Menor")),"Moderado",IF(OR(AND(J64="Muy Baja",L64="Mayor"),AND(J64="Baja",L64="Mayor"),AND(J64="Media",L64="Mayor"),AND(J64="Alta",L64="Moderado"),AND(J64="Alta",L64="Mayor"),AND(J64="Muy Alta",L64="Leve"),AND(J64="Muy Alta",L64="Menor"),AND(J64="Muy Alta",L64="Moderado"),AND(J64="Muy Alta",L64="Mayor")),"Alto",IF(OR(AND(J64="Muy Baja",L64="Catastrófico"),AND(J64="Baja",L64="Catastrófico"),AND(J64="Media",L64="Catastrófico"),AND(J64="Alta",L64="Catastrófico"),AND(J64="Muy Alta",L64="Catastrófico")),"Extremo",""))))</f>
        <v>Alto</v>
      </c>
      <c r="O64" s="25">
        <v>1</v>
      </c>
      <c r="P64" s="77" t="s">
        <v>348</v>
      </c>
      <c r="Q64" s="25" t="str">
        <f t="shared" si="5"/>
        <v>Probabilidad</v>
      </c>
      <c r="R64" s="73" t="s">
        <v>137</v>
      </c>
      <c r="S64" s="73" t="s">
        <v>129</v>
      </c>
      <c r="T64" s="26" t="str">
        <f t="shared" si="6"/>
        <v>40%</v>
      </c>
      <c r="U64" s="73" t="s">
        <v>130</v>
      </c>
      <c r="V64" s="73" t="s">
        <v>147</v>
      </c>
      <c r="W64" s="73" t="s">
        <v>132</v>
      </c>
      <c r="X64" s="25" t="s">
        <v>349</v>
      </c>
      <c r="Y64" s="59">
        <f>IFERROR(IF(Q64="Probabilidad",(K64-(+K64*T64)),IF(Q64="Impacto",K64,"")),"")</f>
        <v>0.48</v>
      </c>
      <c r="Z64" s="58" t="str">
        <f t="shared" si="7"/>
        <v>Media</v>
      </c>
      <c r="AA64" s="26">
        <f t="shared" si="8"/>
        <v>0.48</v>
      </c>
      <c r="AB64" s="58" t="str">
        <f t="shared" si="9"/>
        <v>Mayor</v>
      </c>
      <c r="AC64" s="26">
        <f>IFERROR(IF(Q64="Impacto",(M64-(+M64*T64)),IF(Q64="Probabilidad",M64,"")),"")</f>
        <v>0.8</v>
      </c>
      <c r="AD64" s="339" t="s">
        <v>350</v>
      </c>
      <c r="AE64" s="341">
        <f>MIN(Y64:Y66)</f>
        <v>0.33599999999999997</v>
      </c>
      <c r="AF64" s="339" t="str">
        <f>IFERROR(IF(AG64=0,"",IF(AND(AG64&gt;0,AG64&lt;=0.2),"Leve",IF(AG64&lt;=0.4,"Menor",IF(AG64&lt;=0.6,"Moderado",IF(AG64&lt;=0.8,"Mayor","Catastrófico"))))),"")</f>
        <v>Moderado</v>
      </c>
      <c r="AG64" s="341">
        <f>MIN(AC64:AC66)</f>
        <v>0.60000000000000009</v>
      </c>
      <c r="AH64" s="350" t="s">
        <v>351</v>
      </c>
      <c r="AI64" s="352" t="s">
        <v>134</v>
      </c>
      <c r="AJ64" s="79"/>
      <c r="AK64" s="379" t="s">
        <v>692</v>
      </c>
      <c r="AL64" s="398" t="s">
        <v>708</v>
      </c>
      <c r="AM64" s="379" t="s">
        <v>692</v>
      </c>
      <c r="AN64" s="404" t="s">
        <v>749</v>
      </c>
      <c r="AO64" s="373" t="s">
        <v>682</v>
      </c>
      <c r="AP64" s="389"/>
      <c r="AQ64" s="373" t="s">
        <v>682</v>
      </c>
      <c r="AR64" s="389"/>
      <c r="AS64" s="60"/>
      <c r="AT64" s="60"/>
      <c r="AU64" s="60"/>
      <c r="AV64" s="60"/>
      <c r="AW64" s="60"/>
      <c r="AX64" s="60"/>
      <c r="AY64" s="60"/>
    </row>
    <row r="65" spans="1:51" ht="97.5" customHeight="1" x14ac:dyDescent="0.25">
      <c r="A65" s="353"/>
      <c r="B65" s="346"/>
      <c r="C65" s="346"/>
      <c r="D65" s="346"/>
      <c r="E65" s="346"/>
      <c r="F65" s="346"/>
      <c r="G65" s="360"/>
      <c r="H65" s="84" t="s">
        <v>352</v>
      </c>
      <c r="I65" s="346"/>
      <c r="J65" s="340"/>
      <c r="K65" s="411"/>
      <c r="L65" s="340"/>
      <c r="M65" s="411"/>
      <c r="N65" s="351"/>
      <c r="O65" s="25">
        <v>2</v>
      </c>
      <c r="P65" s="77" t="s">
        <v>353</v>
      </c>
      <c r="Q65" s="25" t="str">
        <f t="shared" si="5"/>
        <v>Probabilidad</v>
      </c>
      <c r="R65" s="73" t="s">
        <v>128</v>
      </c>
      <c r="S65" s="73" t="s">
        <v>129</v>
      </c>
      <c r="T65" s="26" t="str">
        <f t="shared" si="6"/>
        <v>30%</v>
      </c>
      <c r="U65" s="73" t="s">
        <v>130</v>
      </c>
      <c r="V65" s="73" t="s">
        <v>147</v>
      </c>
      <c r="W65" s="73" t="s">
        <v>132</v>
      </c>
      <c r="X65" s="25" t="s">
        <v>349</v>
      </c>
      <c r="Y65" s="59">
        <f>IFERROR(IF(AND(Q64="Probabilidad",Q65="Probabilidad"),(AA64-(+AA64*T65)),IF(Q65="Probabilidad",(K64-(+K64*T65)),IF(Q65="Impacto",AA64,""))),"")</f>
        <v>0.33599999999999997</v>
      </c>
      <c r="Z65" s="58" t="str">
        <f t="shared" si="7"/>
        <v>Baja</v>
      </c>
      <c r="AA65" s="26">
        <f t="shared" si="8"/>
        <v>0.33599999999999997</v>
      </c>
      <c r="AB65" s="58" t="str">
        <f t="shared" si="9"/>
        <v>Mayor</v>
      </c>
      <c r="AC65" s="26">
        <f>IFERROR(IF(AND(Q64="Impacto",Q65="Impacto"),(AC64-(+AC64*T65)),IF(Q65="Impacto",(#REF!-(+#REF!*T65)),IF(Q65="Probabilidad",AC64,""))),"")</f>
        <v>0.8</v>
      </c>
      <c r="AD65" s="340"/>
      <c r="AE65" s="342"/>
      <c r="AF65" s="340"/>
      <c r="AG65" s="342"/>
      <c r="AH65" s="351"/>
      <c r="AI65" s="353"/>
      <c r="AJ65" s="80"/>
      <c r="AK65" s="380"/>
      <c r="AL65" s="399"/>
      <c r="AM65" s="380"/>
      <c r="AN65" s="405"/>
      <c r="AO65" s="374"/>
      <c r="AP65" s="390"/>
      <c r="AQ65" s="374"/>
      <c r="AR65" s="390"/>
      <c r="AS65" s="60"/>
      <c r="AT65" s="60"/>
      <c r="AU65" s="60"/>
      <c r="AV65" s="60"/>
      <c r="AW65" s="60"/>
      <c r="AX65" s="60"/>
      <c r="AY65" s="60"/>
    </row>
    <row r="66" spans="1:51" ht="129" customHeight="1" x14ac:dyDescent="0.25">
      <c r="A66" s="353"/>
      <c r="B66" s="346"/>
      <c r="C66" s="346"/>
      <c r="D66" s="346"/>
      <c r="E66" s="346"/>
      <c r="F66" s="346"/>
      <c r="G66" s="360"/>
      <c r="H66" s="84"/>
      <c r="I66" s="346"/>
      <c r="J66" s="340"/>
      <c r="K66" s="411"/>
      <c r="L66" s="340"/>
      <c r="M66" s="411"/>
      <c r="N66" s="351"/>
      <c r="O66" s="25">
        <v>3</v>
      </c>
      <c r="P66" s="85" t="s">
        <v>354</v>
      </c>
      <c r="Q66" s="25" t="str">
        <f t="shared" si="5"/>
        <v>Impacto</v>
      </c>
      <c r="R66" s="73" t="s">
        <v>152</v>
      </c>
      <c r="S66" s="73" t="s">
        <v>129</v>
      </c>
      <c r="T66" s="26" t="str">
        <f t="shared" si="6"/>
        <v>25%</v>
      </c>
      <c r="U66" s="73" t="s">
        <v>130</v>
      </c>
      <c r="V66" s="73" t="s">
        <v>147</v>
      </c>
      <c r="W66" s="73" t="s">
        <v>132</v>
      </c>
      <c r="X66" s="25" t="s">
        <v>355</v>
      </c>
      <c r="Y66" s="59">
        <f>IFERROR(IF(AND(Q65="Probabilidad",Q66="Probabilidad"),(AA65-(+AA65*T66)),IF(AND(Q65="Impacto",Q66="Probabilidad"),(AA64-(+AA64*T66)),IF(Q66="Impacto",AA65,""))),"")</f>
        <v>0.33599999999999997</v>
      </c>
      <c r="Z66" s="58" t="str">
        <f t="shared" si="7"/>
        <v>Baja</v>
      </c>
      <c r="AA66" s="26">
        <f t="shared" si="8"/>
        <v>0.33599999999999997</v>
      </c>
      <c r="AB66" s="58" t="str">
        <f t="shared" si="9"/>
        <v>Moderado</v>
      </c>
      <c r="AC66" s="26">
        <f>IFERROR(IF(AND(Q65="Impacto",Q66="Impacto"),(AC65-(+AC65*T66)),IF(AND(Q65="Probabilidad",Q66="Impacto"),(AC64-(+AC64*T66)),IF(Q66="Probabilidad",AC65,""))),"")</f>
        <v>0.60000000000000009</v>
      </c>
      <c r="AD66" s="340"/>
      <c r="AE66" s="342"/>
      <c r="AF66" s="340"/>
      <c r="AG66" s="342"/>
      <c r="AH66" s="351"/>
      <c r="AI66" s="353"/>
      <c r="AJ66" s="80"/>
      <c r="AK66" s="380"/>
      <c r="AL66" s="399"/>
      <c r="AM66" s="380"/>
      <c r="AN66" s="405"/>
      <c r="AO66" s="374"/>
      <c r="AP66" s="390"/>
      <c r="AQ66" s="374"/>
      <c r="AR66" s="390"/>
      <c r="AS66" s="60"/>
      <c r="AT66" s="60"/>
      <c r="AU66" s="60"/>
      <c r="AV66" s="60"/>
      <c r="AW66" s="60"/>
      <c r="AX66" s="60"/>
      <c r="AY66" s="60"/>
    </row>
    <row r="67" spans="1:51" ht="69" customHeight="1" x14ac:dyDescent="0.25">
      <c r="A67" s="352" t="s">
        <v>356</v>
      </c>
      <c r="B67" s="345" t="s">
        <v>357</v>
      </c>
      <c r="C67" s="345" t="s">
        <v>281</v>
      </c>
      <c r="D67" s="345" t="s">
        <v>308</v>
      </c>
      <c r="E67" s="345" t="s">
        <v>358</v>
      </c>
      <c r="F67" s="345" t="s">
        <v>359</v>
      </c>
      <c r="G67" s="343" t="s">
        <v>360</v>
      </c>
      <c r="H67" s="84" t="s">
        <v>361</v>
      </c>
      <c r="I67" s="345" t="s">
        <v>659</v>
      </c>
      <c r="J67" s="339" t="s">
        <v>206</v>
      </c>
      <c r="K67" s="410">
        <f>IF(J67="","",IF(J67="Muy Baja",0.2,IF(J67="Baja",0.4,IF(J67="Media",0.6,IF(J67="Alta",0.8,IF(J67="Muy Alta",1,))))))</f>
        <v>0.6</v>
      </c>
      <c r="L67" s="339" t="s">
        <v>145</v>
      </c>
      <c r="M67" s="410">
        <f>IF(L67="","",IF(L67="Leve",0.2,IF(L67="Menor",0.4,IF(L67="Moderado",0.6,IF(L67="Mayor",0.8,IF(L67="Catastrófico",1,))))))</f>
        <v>0.8</v>
      </c>
      <c r="N67" s="350" t="str">
        <f>IF(OR(AND(J67="Muy Baja",L67="Leve"),AND(J67="Muy Baja",L67="Menor"),AND(J67="Baja",L67="Leve")),"Bajo",IF(OR(AND(J67="Muy baja",L67="Moderado"),AND(J67="Baja",L67="Menor"),AND(J67="Baja",L67="Moderado"),AND(J67="Media",L67="Leve"),AND(J67="Media",L67="Menor"),AND(J67="Media",L67="Moderado"),AND(J67="Alta",L67="Leve"),AND(J67="Alta",L67="Menor")),"Moderado",IF(OR(AND(J67="Muy Baja",L67="Mayor"),AND(J67="Baja",L67="Mayor"),AND(J67="Media",L67="Mayor"),AND(J67="Alta",L67="Moderado"),AND(J67="Alta",L67="Mayor"),AND(J67="Muy Alta",L67="Leve"),AND(J67="Muy Alta",L67="Menor"),AND(J67="Muy Alta",L67="Moderado"),AND(J67="Muy Alta",L67="Mayor")),"Alto",IF(OR(AND(J67="Muy Baja",L67="Catastrófico"),AND(J67="Baja",L67="Catastrófico"),AND(J67="Media",L67="Catastrófico"),AND(J67="Alta",L67="Catastrófico"),AND(J67="Muy Alta",L67="Catastrófico")),"Extremo",""))))</f>
        <v>Alto</v>
      </c>
      <c r="O67" s="25">
        <v>1</v>
      </c>
      <c r="P67" s="77" t="s">
        <v>362</v>
      </c>
      <c r="Q67" s="25" t="str">
        <f t="shared" si="5"/>
        <v>Probabilidad</v>
      </c>
      <c r="R67" s="73" t="s">
        <v>137</v>
      </c>
      <c r="S67" s="73" t="s">
        <v>129</v>
      </c>
      <c r="T67" s="26" t="str">
        <f t="shared" si="6"/>
        <v>40%</v>
      </c>
      <c r="U67" s="73" t="s">
        <v>162</v>
      </c>
      <c r="V67" s="73" t="s">
        <v>147</v>
      </c>
      <c r="W67" s="73" t="s">
        <v>132</v>
      </c>
      <c r="X67" s="110" t="s">
        <v>363</v>
      </c>
      <c r="Y67" s="59">
        <f>IFERROR(IF(Q67="Probabilidad",(K67-(+K67*T67)),IF(Q67="Impacto",K67,"")),"")</f>
        <v>0.36</v>
      </c>
      <c r="Z67" s="58" t="str">
        <f t="shared" si="7"/>
        <v>Baja</v>
      </c>
      <c r="AA67" s="26">
        <f t="shared" si="8"/>
        <v>0.36</v>
      </c>
      <c r="AB67" s="58" t="str">
        <f t="shared" si="9"/>
        <v>Mayor</v>
      </c>
      <c r="AC67" s="26">
        <f>IFERROR(IF(Q67="Impacto",(M67-(+M67*T67)),IF(Q67="Probabilidad",M67,"")),"")</f>
        <v>0.8</v>
      </c>
      <c r="AD67" s="339" t="s">
        <v>350</v>
      </c>
      <c r="AE67" s="341">
        <f>MIN(Y67:Y72)</f>
        <v>4.6655999999999996E-2</v>
      </c>
      <c r="AF67" s="339" t="str">
        <f>IFERROR(IF(AG67=0,"",IF(AND(AG67&gt;0,AG67&lt;=0.2),"Leve",IF(AG67&lt;=0.4,"Menor",IF(AG67&lt;=0.6,"Moderado",IF(AG67&lt;=0.8,"Mayor","Catastrófico"))))),"")</f>
        <v>Moderado</v>
      </c>
      <c r="AG67" s="341">
        <f>MIN(AC67:AC72)</f>
        <v>0.60000000000000009</v>
      </c>
      <c r="AH67" s="350" t="s">
        <v>351</v>
      </c>
      <c r="AI67" s="352" t="s">
        <v>134</v>
      </c>
      <c r="AJ67" s="79"/>
      <c r="AK67" s="379" t="s">
        <v>693</v>
      </c>
      <c r="AL67" s="398" t="s">
        <v>708</v>
      </c>
      <c r="AM67" s="379" t="s">
        <v>693</v>
      </c>
      <c r="AN67" s="404" t="s">
        <v>750</v>
      </c>
      <c r="AO67" s="373" t="s">
        <v>682</v>
      </c>
      <c r="AP67" s="389"/>
      <c r="AQ67" s="373" t="s">
        <v>682</v>
      </c>
      <c r="AR67" s="389"/>
      <c r="AS67" s="60"/>
      <c r="AT67" s="60"/>
      <c r="AU67" s="60"/>
      <c r="AV67" s="60"/>
      <c r="AW67" s="60"/>
      <c r="AX67" s="60"/>
      <c r="AY67" s="60"/>
    </row>
    <row r="68" spans="1:51" ht="52.5" customHeight="1" x14ac:dyDescent="0.25">
      <c r="A68" s="353"/>
      <c r="B68" s="346"/>
      <c r="C68" s="346"/>
      <c r="D68" s="346"/>
      <c r="E68" s="346"/>
      <c r="F68" s="346"/>
      <c r="G68" s="360"/>
      <c r="H68" s="84" t="s">
        <v>364</v>
      </c>
      <c r="I68" s="346"/>
      <c r="J68" s="340"/>
      <c r="K68" s="411"/>
      <c r="L68" s="340"/>
      <c r="M68" s="411"/>
      <c r="N68" s="351"/>
      <c r="O68" s="25">
        <v>2</v>
      </c>
      <c r="P68" s="77" t="s">
        <v>365</v>
      </c>
      <c r="Q68" s="25" t="str">
        <f t="shared" si="5"/>
        <v>Probabilidad</v>
      </c>
      <c r="R68" s="73" t="s">
        <v>137</v>
      </c>
      <c r="S68" s="73" t="s">
        <v>129</v>
      </c>
      <c r="T68" s="26" t="str">
        <f t="shared" si="6"/>
        <v>40%</v>
      </c>
      <c r="U68" s="73" t="s">
        <v>162</v>
      </c>
      <c r="V68" s="73" t="s">
        <v>131</v>
      </c>
      <c r="W68" s="73" t="s">
        <v>132</v>
      </c>
      <c r="X68" s="78" t="s">
        <v>366</v>
      </c>
      <c r="Y68" s="59">
        <f>IFERROR(IF(AND(Q67="Probabilidad",Q68="Probabilidad"),(AA67-(+AA67*T68)),IF(Q68="Probabilidad",(K67-(+K67*T68)),IF(Q68="Impacto",AA67,""))),"")</f>
        <v>0.216</v>
      </c>
      <c r="Z68" s="58" t="str">
        <f t="shared" si="7"/>
        <v>Baja</v>
      </c>
      <c r="AA68" s="26">
        <f t="shared" si="8"/>
        <v>0.216</v>
      </c>
      <c r="AB68" s="58" t="str">
        <f t="shared" si="9"/>
        <v>Mayor</v>
      </c>
      <c r="AC68" s="26">
        <f>IFERROR(IF(AND(Q67="Impacto",Q68="Impacto"),(AC67-(+AC67*T68)),IF(Q68="Impacto",(#REF!-(+#REF!*T68)),IF(Q68="Probabilidad",AC67,""))),"")</f>
        <v>0.8</v>
      </c>
      <c r="AD68" s="340"/>
      <c r="AE68" s="342"/>
      <c r="AF68" s="340"/>
      <c r="AG68" s="342"/>
      <c r="AH68" s="351"/>
      <c r="AI68" s="353"/>
      <c r="AJ68" s="80"/>
      <c r="AK68" s="380"/>
      <c r="AL68" s="399"/>
      <c r="AM68" s="380"/>
      <c r="AN68" s="405"/>
      <c r="AO68" s="374"/>
      <c r="AP68" s="390"/>
      <c r="AQ68" s="374"/>
      <c r="AR68" s="390"/>
      <c r="AS68" s="60"/>
      <c r="AT68" s="60"/>
      <c r="AU68" s="60"/>
      <c r="AV68" s="60"/>
      <c r="AW68" s="60"/>
      <c r="AX68" s="60"/>
      <c r="AY68" s="60"/>
    </row>
    <row r="69" spans="1:51" ht="49.5" customHeight="1" x14ac:dyDescent="0.25">
      <c r="A69" s="353"/>
      <c r="B69" s="346"/>
      <c r="C69" s="346"/>
      <c r="D69" s="346"/>
      <c r="E69" s="346"/>
      <c r="F69" s="346"/>
      <c r="G69" s="360"/>
      <c r="H69" s="84" t="s">
        <v>367</v>
      </c>
      <c r="I69" s="346"/>
      <c r="J69" s="340"/>
      <c r="K69" s="411"/>
      <c r="L69" s="340"/>
      <c r="M69" s="411"/>
      <c r="N69" s="351"/>
      <c r="O69" s="25">
        <v>3</v>
      </c>
      <c r="P69" s="85" t="s">
        <v>368</v>
      </c>
      <c r="Q69" s="25" t="str">
        <f t="shared" si="5"/>
        <v>Probabilidad</v>
      </c>
      <c r="R69" s="73" t="s">
        <v>137</v>
      </c>
      <c r="S69" s="73" t="s">
        <v>129</v>
      </c>
      <c r="T69" s="26" t="str">
        <f t="shared" si="6"/>
        <v>40%</v>
      </c>
      <c r="U69" s="73" t="s">
        <v>162</v>
      </c>
      <c r="V69" s="73" t="s">
        <v>131</v>
      </c>
      <c r="W69" s="73" t="s">
        <v>132</v>
      </c>
      <c r="X69" s="78" t="s">
        <v>369</v>
      </c>
      <c r="Y69" s="59">
        <f>IFERROR(IF(AND(Q68="Probabilidad",Q69="Probabilidad"),(AA68-(+AA68*T69)),IF(AND(Q68="Impacto",Q69="Probabilidad"),(AA67-(+AA67*T69)),IF(Q69="Impacto",AA68,""))),"")</f>
        <v>0.12959999999999999</v>
      </c>
      <c r="Z69" s="58" t="str">
        <f t="shared" si="7"/>
        <v>Muy Baja</v>
      </c>
      <c r="AA69" s="26">
        <f t="shared" si="8"/>
        <v>0.12959999999999999</v>
      </c>
      <c r="AB69" s="58" t="str">
        <f t="shared" si="9"/>
        <v>Mayor</v>
      </c>
      <c r="AC69" s="26">
        <f>IFERROR(IF(AND(Q68="Impacto",Q69="Impacto"),(AC68-(+AC68*T69)),IF(AND(Q68="Probabilidad",Q69="Impacto"),(AC67-(+AC67*T69)),IF(Q69="Probabilidad",AC68,""))),"")</f>
        <v>0.8</v>
      </c>
      <c r="AD69" s="340"/>
      <c r="AE69" s="342"/>
      <c r="AF69" s="340"/>
      <c r="AG69" s="342"/>
      <c r="AH69" s="351"/>
      <c r="AI69" s="353"/>
      <c r="AJ69" s="80"/>
      <c r="AK69" s="380"/>
      <c r="AL69" s="399"/>
      <c r="AM69" s="380"/>
      <c r="AN69" s="405"/>
      <c r="AO69" s="374"/>
      <c r="AP69" s="390"/>
      <c r="AQ69" s="374"/>
      <c r="AR69" s="390"/>
      <c r="AS69" s="60"/>
      <c r="AT69" s="60"/>
      <c r="AU69" s="60"/>
      <c r="AV69" s="60"/>
      <c r="AW69" s="60"/>
      <c r="AX69" s="60"/>
      <c r="AY69" s="60"/>
    </row>
    <row r="70" spans="1:51" ht="62.25" customHeight="1" x14ac:dyDescent="0.25">
      <c r="A70" s="353"/>
      <c r="B70" s="346"/>
      <c r="C70" s="346"/>
      <c r="D70" s="346"/>
      <c r="E70" s="346"/>
      <c r="F70" s="346"/>
      <c r="G70" s="360"/>
      <c r="H70" s="84" t="s">
        <v>370</v>
      </c>
      <c r="I70" s="346"/>
      <c r="J70" s="340"/>
      <c r="K70" s="411"/>
      <c r="L70" s="340"/>
      <c r="M70" s="411"/>
      <c r="N70" s="351"/>
      <c r="O70" s="25">
        <v>4</v>
      </c>
      <c r="P70" s="77" t="s">
        <v>371</v>
      </c>
      <c r="Q70" s="25" t="str">
        <f t="shared" si="5"/>
        <v>Probabilidad</v>
      </c>
      <c r="R70" s="73" t="s">
        <v>137</v>
      </c>
      <c r="S70" s="73" t="s">
        <v>129</v>
      </c>
      <c r="T70" s="26" t="str">
        <f t="shared" si="6"/>
        <v>40%</v>
      </c>
      <c r="U70" s="73" t="s">
        <v>162</v>
      </c>
      <c r="V70" s="73" t="s">
        <v>131</v>
      </c>
      <c r="W70" s="73" t="s">
        <v>132</v>
      </c>
      <c r="X70" s="78" t="s">
        <v>372</v>
      </c>
      <c r="Y70" s="59">
        <f>IFERROR(IF(AND(Q69="Probabilidad",Q70="Probabilidad"),(AA69-(+AA69*T70)),IF(AND(Q69="Impacto",Q70="Probabilidad"),(AA68-(+AA68*T70)),IF(Q70="Impacto",AA69,""))),"")</f>
        <v>7.7759999999999996E-2</v>
      </c>
      <c r="Z70" s="58" t="str">
        <f t="shared" si="7"/>
        <v>Muy Baja</v>
      </c>
      <c r="AA70" s="26">
        <f t="shared" si="8"/>
        <v>7.7759999999999996E-2</v>
      </c>
      <c r="AB70" s="58" t="str">
        <f t="shared" si="9"/>
        <v>Mayor</v>
      </c>
      <c r="AC70" s="26">
        <f>IFERROR(IF(AND(Q69="Impacto",Q70="Impacto"),(AC69-(+AC69*T70)),IF(AND(Q69="Probabilidad",Q70="Impacto"),(AC68-(+AC68*T70)),IF(Q70="Probabilidad",AC69,""))),"")</f>
        <v>0.8</v>
      </c>
      <c r="AD70" s="340"/>
      <c r="AE70" s="342"/>
      <c r="AF70" s="340"/>
      <c r="AG70" s="342"/>
      <c r="AH70" s="351"/>
      <c r="AI70" s="353"/>
      <c r="AJ70" s="80"/>
      <c r="AK70" s="380"/>
      <c r="AL70" s="399"/>
      <c r="AM70" s="380"/>
      <c r="AN70" s="405"/>
      <c r="AO70" s="374"/>
      <c r="AP70" s="390"/>
      <c r="AQ70" s="374"/>
      <c r="AR70" s="390"/>
      <c r="AS70" s="60"/>
      <c r="AT70" s="60"/>
      <c r="AU70" s="60"/>
      <c r="AV70" s="60"/>
      <c r="AW70" s="60"/>
      <c r="AX70" s="60"/>
      <c r="AY70" s="60"/>
    </row>
    <row r="71" spans="1:51" ht="42.6" customHeight="1" x14ac:dyDescent="0.25">
      <c r="A71" s="353"/>
      <c r="B71" s="346"/>
      <c r="C71" s="346"/>
      <c r="D71" s="346"/>
      <c r="E71" s="346"/>
      <c r="F71" s="346"/>
      <c r="G71" s="360"/>
      <c r="H71" s="84" t="s">
        <v>373</v>
      </c>
      <c r="I71" s="346"/>
      <c r="J71" s="340"/>
      <c r="K71" s="411"/>
      <c r="L71" s="340"/>
      <c r="M71" s="411"/>
      <c r="N71" s="351"/>
      <c r="O71" s="25">
        <v>5</v>
      </c>
      <c r="P71" s="77" t="s">
        <v>374</v>
      </c>
      <c r="Q71" s="25" t="str">
        <f t="shared" si="5"/>
        <v>Probabilidad</v>
      </c>
      <c r="R71" s="73" t="s">
        <v>137</v>
      </c>
      <c r="S71" s="73" t="s">
        <v>129</v>
      </c>
      <c r="T71" s="26" t="str">
        <f t="shared" si="6"/>
        <v>40%</v>
      </c>
      <c r="U71" s="73" t="s">
        <v>162</v>
      </c>
      <c r="V71" s="73" t="s">
        <v>131</v>
      </c>
      <c r="W71" s="73" t="s">
        <v>132</v>
      </c>
      <c r="X71" s="78" t="s">
        <v>375</v>
      </c>
      <c r="Y71" s="59">
        <f>IFERROR(IF(AND(Q70="Probabilidad",Q71="Probabilidad"),(AA70-(+AA70*T71)),IF(AND(Q70="Impacto",Q71="Probabilidad"),(AA69-(+AA69*T71)),IF(Q71="Impacto",AA70,""))),"")</f>
        <v>4.6655999999999996E-2</v>
      </c>
      <c r="Z71" s="58" t="str">
        <f t="shared" si="7"/>
        <v>Muy Baja</v>
      </c>
      <c r="AA71" s="26">
        <f t="shared" si="8"/>
        <v>4.6655999999999996E-2</v>
      </c>
      <c r="AB71" s="58" t="str">
        <f t="shared" si="9"/>
        <v>Mayor</v>
      </c>
      <c r="AC71" s="26">
        <f>IFERROR(IF(AND(Q70="Impacto",Q71="Impacto"),(AC70-(+AC70*T71)),IF(AND(Q70="Probabilidad",Q71="Impacto"),(AC69-(+AC69*T71)),IF(Q71="Probabilidad",AC70,""))),"")</f>
        <v>0.8</v>
      </c>
      <c r="AD71" s="340"/>
      <c r="AE71" s="342"/>
      <c r="AF71" s="340"/>
      <c r="AG71" s="342"/>
      <c r="AH71" s="351"/>
      <c r="AI71" s="353"/>
      <c r="AJ71" s="80"/>
      <c r="AK71" s="380"/>
      <c r="AL71" s="399"/>
      <c r="AM71" s="380"/>
      <c r="AN71" s="405"/>
      <c r="AO71" s="374"/>
      <c r="AP71" s="390"/>
      <c r="AQ71" s="374"/>
      <c r="AR71" s="390"/>
      <c r="AS71" s="60"/>
      <c r="AT71" s="60"/>
      <c r="AU71" s="60"/>
      <c r="AV71" s="60"/>
      <c r="AW71" s="60"/>
      <c r="AX71" s="60"/>
      <c r="AY71" s="60"/>
    </row>
    <row r="72" spans="1:51" ht="36" customHeight="1" x14ac:dyDescent="0.25">
      <c r="A72" s="421"/>
      <c r="B72" s="388"/>
      <c r="C72" s="388"/>
      <c r="D72" s="388"/>
      <c r="E72" s="388"/>
      <c r="F72" s="388"/>
      <c r="G72" s="344"/>
      <c r="H72" s="81"/>
      <c r="I72" s="388"/>
      <c r="J72" s="419"/>
      <c r="K72" s="412"/>
      <c r="L72" s="419"/>
      <c r="M72" s="412"/>
      <c r="N72" s="418"/>
      <c r="O72" s="25">
        <v>6</v>
      </c>
      <c r="P72" s="77" t="s">
        <v>376</v>
      </c>
      <c r="Q72" s="25" t="str">
        <f t="shared" si="5"/>
        <v>Impacto</v>
      </c>
      <c r="R72" s="73" t="s">
        <v>152</v>
      </c>
      <c r="S72" s="73" t="s">
        <v>129</v>
      </c>
      <c r="T72" s="26" t="str">
        <f t="shared" si="6"/>
        <v>25%</v>
      </c>
      <c r="U72" s="73" t="s">
        <v>162</v>
      </c>
      <c r="V72" s="73" t="s">
        <v>131</v>
      </c>
      <c r="W72" s="73" t="s">
        <v>132</v>
      </c>
      <c r="X72" s="78" t="s">
        <v>377</v>
      </c>
      <c r="Y72" s="59">
        <f>IFERROR(IF(AND(Q71="Probabilidad",Q72="Probabilidad"),(AA71-(+AA71*T72)),IF(AND(Q71="Impacto",Q72="Probabilidad"),(AA70-(+AA70*T72)),IF(Q72="Impacto",AA71,""))),"")</f>
        <v>4.6655999999999996E-2</v>
      </c>
      <c r="Z72" s="58" t="str">
        <f t="shared" si="7"/>
        <v>Muy Baja</v>
      </c>
      <c r="AA72" s="26">
        <f t="shared" si="8"/>
        <v>4.6655999999999996E-2</v>
      </c>
      <c r="AB72" s="58" t="str">
        <f t="shared" si="9"/>
        <v>Moderado</v>
      </c>
      <c r="AC72" s="26">
        <f>IFERROR(IF(AND(Q71="Impacto",Q72="Impacto"),(AC71-(+AC71*T72)),IF(AND(Q71="Probabilidad",Q72="Impacto"),(AC70-(+AC70*T72)),IF(Q72="Probabilidad",AC71,""))),"")</f>
        <v>0.60000000000000009</v>
      </c>
      <c r="AD72" s="419"/>
      <c r="AE72" s="420"/>
      <c r="AF72" s="419"/>
      <c r="AG72" s="420"/>
      <c r="AH72" s="418"/>
      <c r="AI72" s="421"/>
      <c r="AJ72" s="80"/>
      <c r="AK72" s="381"/>
      <c r="AL72" s="400"/>
      <c r="AM72" s="381"/>
      <c r="AN72" s="406"/>
      <c r="AO72" s="375"/>
      <c r="AP72" s="391"/>
      <c r="AQ72" s="375"/>
      <c r="AR72" s="391"/>
      <c r="AS72" s="60"/>
      <c r="AT72" s="60"/>
      <c r="AU72" s="60"/>
      <c r="AV72" s="60"/>
      <c r="AW72" s="60"/>
      <c r="AX72" s="60"/>
      <c r="AY72" s="60"/>
    </row>
    <row r="73" spans="1:51" ht="147" customHeight="1" x14ac:dyDescent="0.25">
      <c r="A73" s="352" t="s">
        <v>214</v>
      </c>
      <c r="B73" s="345" t="s">
        <v>629</v>
      </c>
      <c r="C73" s="345" t="s">
        <v>281</v>
      </c>
      <c r="D73" s="345" t="s">
        <v>229</v>
      </c>
      <c r="E73" s="345" t="s">
        <v>630</v>
      </c>
      <c r="F73" s="345" t="s">
        <v>631</v>
      </c>
      <c r="G73" s="343" t="s">
        <v>632</v>
      </c>
      <c r="H73" s="84" t="s">
        <v>633</v>
      </c>
      <c r="I73" s="345" t="s">
        <v>658</v>
      </c>
      <c r="J73" s="339" t="s">
        <v>206</v>
      </c>
      <c r="K73" s="410">
        <f>IF(J73="","",IF(J73="Muy Baja",0.2,IF(J73="Baja",0.4,IF(J73="Media",0.6,IF(J73="Alta",0.8,IF(J73="Muy Alta",1,))))))</f>
        <v>0.6</v>
      </c>
      <c r="L73" s="339" t="s">
        <v>125</v>
      </c>
      <c r="M73" s="410">
        <f>IF(L73="","",IF(L73="Leve",0.2,IF(L73="Menor",0.4,IF(L73="Moderado",0.6,IF(L73="Mayor",0.8,IF(L73="Catastrófico",1,))))))</f>
        <v>0.6</v>
      </c>
      <c r="N73" s="350" t="str">
        <f>IF(OR(AND(J73="Muy Baja",L73="Leve"),AND(J73="Muy Baja",L73="Menor"),AND(J73="Baja",L73="Leve")),"Bajo",IF(OR(AND(J73="Muy baja",L73="Moderado"),AND(J73="Baja",L73="Menor"),AND(J73="Baja",L73="Moderado"),AND(J73="Media",L73="Leve"),AND(J73="Media",L73="Menor"),AND(J73="Media",L73="Moderado"),AND(J73="Alta",L73="Leve"),AND(J73="Alta",L73="Menor")),"Moderado",IF(OR(AND(J73="Muy Baja",L73="Mayor"),AND(J73="Baja",L73="Mayor"),AND(J73="Media",L73="Mayor"),AND(J73="Alta",L73="Moderado"),AND(J73="Alta",L73="Mayor"),AND(J73="Muy Alta",L73="Leve"),AND(J73="Muy Alta",L73="Menor"),AND(J73="Muy Alta",L73="Moderado"),AND(J73="Muy Alta",L73="Mayor")),"Alto",IF(OR(AND(J73="Muy Baja",L73="Catastrófico"),AND(J73="Baja",L73="Catastrófico"),AND(J73="Media",L73="Catastrófico"),AND(J73="Alta",L73="Catastrófico"),AND(J73="Muy Alta",L73="Catastrófico")),"Extremo",""))))</f>
        <v>Moderado</v>
      </c>
      <c r="O73" s="25">
        <v>1</v>
      </c>
      <c r="P73" s="77" t="s">
        <v>634</v>
      </c>
      <c r="Q73" s="25" t="str">
        <f t="shared" si="5"/>
        <v>Probabilidad</v>
      </c>
      <c r="R73" s="73" t="s">
        <v>137</v>
      </c>
      <c r="S73" s="73" t="s">
        <v>129</v>
      </c>
      <c r="T73" s="26" t="str">
        <f t="shared" si="6"/>
        <v>40%</v>
      </c>
      <c r="U73" s="73" t="s">
        <v>130</v>
      </c>
      <c r="V73" s="73" t="s">
        <v>131</v>
      </c>
      <c r="W73" s="73" t="s">
        <v>132</v>
      </c>
      <c r="X73" s="118" t="s">
        <v>635</v>
      </c>
      <c r="Y73" s="59">
        <f>IFERROR(IF(Q73="Probabilidad",(K73-(+K73*T73)),IF(Q73="Impacto",K73,"")),"")</f>
        <v>0.36</v>
      </c>
      <c r="Z73" s="58" t="str">
        <f t="shared" si="7"/>
        <v>Baja</v>
      </c>
      <c r="AA73" s="26">
        <f t="shared" si="8"/>
        <v>0.36</v>
      </c>
      <c r="AB73" s="58" t="str">
        <f t="shared" si="9"/>
        <v>Moderado</v>
      </c>
      <c r="AC73" s="26">
        <f>IFERROR(IF(Q73="Impacto",(M73-(+M73*T73)),IF(Q73="Probabilidad",M73,"")),"")</f>
        <v>0.6</v>
      </c>
      <c r="AD73" s="339" t="s">
        <v>332</v>
      </c>
      <c r="AE73" s="341">
        <f>MIN(Y73:Y75)</f>
        <v>0.36</v>
      </c>
      <c r="AF73" s="339" t="str">
        <f>IFERROR(IF(AG73=0,"",IF(AND(AG73&gt;0,AG73&lt;=0.2),"Leve",IF(AG73&lt;=0.4,"Menor",IF(AG73&lt;=0.6,"Moderado",IF(AG73&lt;=0.8,"Mayor","Catastrófico"))))),"")</f>
        <v>Moderado</v>
      </c>
      <c r="AG73" s="341">
        <f>MIN(AC73:AC75)</f>
        <v>0.44999999999999996</v>
      </c>
      <c r="AH73" s="350" t="s">
        <v>125</v>
      </c>
      <c r="AI73" s="352" t="s">
        <v>134</v>
      </c>
      <c r="AJ73" s="79"/>
      <c r="AK73" s="379" t="s">
        <v>694</v>
      </c>
      <c r="AL73" s="398" t="s">
        <v>708</v>
      </c>
      <c r="AM73" s="379" t="s">
        <v>751</v>
      </c>
      <c r="AN73" s="422" t="s">
        <v>752</v>
      </c>
      <c r="AO73" s="373" t="s">
        <v>682</v>
      </c>
      <c r="AP73" s="389"/>
      <c r="AQ73" s="373" t="s">
        <v>682</v>
      </c>
      <c r="AR73" s="389"/>
      <c r="AS73" s="60"/>
      <c r="AT73" s="60"/>
      <c r="AU73" s="60"/>
      <c r="AV73" s="60"/>
      <c r="AW73" s="60"/>
      <c r="AX73" s="60"/>
      <c r="AY73" s="60"/>
    </row>
    <row r="74" spans="1:51" ht="163.19999999999999" customHeight="1" x14ac:dyDescent="0.25">
      <c r="A74" s="353"/>
      <c r="B74" s="346"/>
      <c r="C74" s="346"/>
      <c r="D74" s="346"/>
      <c r="E74" s="346"/>
      <c r="F74" s="346"/>
      <c r="G74" s="360"/>
      <c r="H74" s="84" t="s">
        <v>636</v>
      </c>
      <c r="I74" s="346"/>
      <c r="J74" s="340"/>
      <c r="K74" s="411"/>
      <c r="L74" s="340"/>
      <c r="M74" s="411"/>
      <c r="N74" s="351"/>
      <c r="O74" s="25">
        <v>2</v>
      </c>
      <c r="P74" s="119" t="s">
        <v>637</v>
      </c>
      <c r="Q74" s="25" t="str">
        <f t="shared" si="5"/>
        <v>Impacto</v>
      </c>
      <c r="R74" s="73" t="s">
        <v>152</v>
      </c>
      <c r="S74" s="73" t="s">
        <v>129</v>
      </c>
      <c r="T74" s="26" t="str">
        <f t="shared" si="6"/>
        <v>25%</v>
      </c>
      <c r="U74" s="73" t="s">
        <v>130</v>
      </c>
      <c r="V74" s="73" t="s">
        <v>131</v>
      </c>
      <c r="W74" s="73" t="s">
        <v>132</v>
      </c>
      <c r="X74" s="104" t="s">
        <v>638</v>
      </c>
      <c r="Y74" s="59">
        <f>IFERROR(IF(AND(Q73="Probabilidad",Q74="Probabilidad"),(AA73-(+AA73*T74)),IF(Q74="Probabilidad",(K73-(+K73*T74)),IF(Q74="Impacto",AA73,""))),"")</f>
        <v>0.36</v>
      </c>
      <c r="Z74" s="58" t="str">
        <f t="shared" si="7"/>
        <v>Baja</v>
      </c>
      <c r="AA74" s="26">
        <f t="shared" si="8"/>
        <v>0.36</v>
      </c>
      <c r="AB74" s="58" t="str">
        <f t="shared" si="9"/>
        <v>Moderado</v>
      </c>
      <c r="AC74" s="26">
        <f>IFERROR(IF(AND(Q73="Impacto",Q74="Impacto"),(AC73-(+AC73*T74)),IF(Q74="Impacto",(M73-(+M73*T74)),IF(Q74="Probabilidad",AC73,""))),"")</f>
        <v>0.44999999999999996</v>
      </c>
      <c r="AD74" s="340"/>
      <c r="AE74" s="342"/>
      <c r="AF74" s="340"/>
      <c r="AG74" s="342"/>
      <c r="AH74" s="351"/>
      <c r="AI74" s="353"/>
      <c r="AJ74" s="80"/>
      <c r="AK74" s="380"/>
      <c r="AL74" s="399"/>
      <c r="AM74" s="380"/>
      <c r="AN74" s="423"/>
      <c r="AO74" s="374"/>
      <c r="AP74" s="390"/>
      <c r="AQ74" s="374"/>
      <c r="AR74" s="390"/>
      <c r="AS74" s="60"/>
      <c r="AT74" s="60"/>
      <c r="AU74" s="60"/>
      <c r="AV74" s="60"/>
      <c r="AW74" s="60"/>
      <c r="AX74" s="60"/>
      <c r="AY74" s="60"/>
    </row>
    <row r="75" spans="1:51" ht="22.95" customHeight="1" x14ac:dyDescent="0.25">
      <c r="A75" s="353"/>
      <c r="B75" s="346"/>
      <c r="C75" s="346"/>
      <c r="D75" s="346"/>
      <c r="E75" s="346"/>
      <c r="F75" s="346"/>
      <c r="G75" s="360"/>
      <c r="H75" s="120"/>
      <c r="I75" s="346"/>
      <c r="J75" s="340"/>
      <c r="K75" s="411"/>
      <c r="L75" s="340"/>
      <c r="M75" s="411"/>
      <c r="N75" s="351"/>
      <c r="O75" s="25"/>
      <c r="P75" s="121"/>
      <c r="Q75" s="117"/>
      <c r="R75" s="116"/>
      <c r="S75" s="116"/>
      <c r="T75" s="26"/>
      <c r="U75" s="73"/>
      <c r="V75" s="73"/>
      <c r="W75" s="73"/>
      <c r="X75" s="104"/>
      <c r="Y75" s="59"/>
      <c r="Z75" s="58"/>
      <c r="AA75" s="26"/>
      <c r="AB75" s="58"/>
      <c r="AC75" s="26"/>
      <c r="AD75" s="340"/>
      <c r="AE75" s="342"/>
      <c r="AF75" s="340"/>
      <c r="AG75" s="342"/>
      <c r="AH75" s="351"/>
      <c r="AI75" s="353"/>
      <c r="AJ75" s="80"/>
      <c r="AK75" s="380"/>
      <c r="AL75" s="399"/>
      <c r="AM75" s="380"/>
      <c r="AN75" s="423"/>
      <c r="AO75" s="374"/>
      <c r="AP75" s="390"/>
      <c r="AQ75" s="374"/>
      <c r="AR75" s="390"/>
      <c r="AS75" s="60"/>
      <c r="AT75" s="60"/>
      <c r="AU75" s="60"/>
      <c r="AV75" s="60"/>
      <c r="AW75" s="60"/>
      <c r="AX75" s="60"/>
      <c r="AY75" s="60"/>
    </row>
    <row r="76" spans="1:51" ht="91.2" customHeight="1" x14ac:dyDescent="0.25">
      <c r="A76" s="352" t="s">
        <v>738</v>
      </c>
      <c r="B76" s="345" t="s">
        <v>639</v>
      </c>
      <c r="C76" s="345" t="s">
        <v>281</v>
      </c>
      <c r="D76" s="345" t="s">
        <v>640</v>
      </c>
      <c r="E76" s="345" t="s">
        <v>641</v>
      </c>
      <c r="F76" s="345" t="s">
        <v>642</v>
      </c>
      <c r="G76" s="343" t="s">
        <v>643</v>
      </c>
      <c r="H76" s="72" t="s">
        <v>644</v>
      </c>
      <c r="I76" s="345" t="s">
        <v>658</v>
      </c>
      <c r="J76" s="339" t="s">
        <v>645</v>
      </c>
      <c r="K76" s="410">
        <f>IF(J76="","",IF(J76="Muy Baja",0.2,IF(J76="Baja",0.4,IF(J76="Media",0.6,IF(J76="Alta",0.8,IF(J76="Muy Alta",1,))))))</f>
        <v>0.6</v>
      </c>
      <c r="L76" s="339" t="s">
        <v>646</v>
      </c>
      <c r="M76" s="410">
        <f>IF(L76="","",IF(L76="Leve",0.2,IF(L76="Menor",0.4,IF(L76="Moderado",0.6,IF(L76="Mayor",0.8,IF(L76="Catastrófico",1,))))))</f>
        <v>0.6</v>
      </c>
      <c r="N76" s="350" t="str">
        <f>IF(OR(AND(J76="Muy Baja",L76="Leve"),AND(J76="Muy Baja",L76="Menor"),AND(J76="Baja",L76="Leve")),"Bajo",IF(OR(AND(J76="Muy baja",L76="Moderado"),AND(J76="Baja",L76="Menor"),AND(J76="Baja",L76="Moderado"),AND(J76="Media",L76="Leve"),AND(J76="Media",L76="Menor"),AND(J76="Media",L76="Moderado"),AND(J76="Alta",L76="Leve"),AND(J76="Alta",L76="Menor")),"Moderado",IF(OR(AND(J76="Muy Baja",L76="Mayor"),AND(J76="Baja",L76="Mayor"),AND(J76="Media",L76="Mayor"),AND(J76="Alta",L76="Moderado"),AND(J76="Alta",L76="Mayor"),AND(J76="Muy Alta",L76="Leve"),AND(J76="Muy Alta",L76="Menor"),AND(J76="Muy Alta",L76="Moderado"),AND(J76="Muy Alta",L76="Mayor")),"Alto",IF(OR(AND(J76="Muy Baja",L76="Catastrófico"),AND(J76="Baja",L76="Catastrófico"),AND(J76="Media",L76="Catastrófico"),AND(J76="Alta",L76="Catastrófico"),AND(J76="Muy Alta",L76="Catastrófico")),"Extremo",""))))</f>
        <v>Moderado</v>
      </c>
      <c r="O76" s="25">
        <v>1</v>
      </c>
      <c r="P76" s="77" t="s">
        <v>647</v>
      </c>
      <c r="Q76" s="25" t="str">
        <f t="shared" ref="Q76:Q105" si="10">IF(OR(R76="Preventivo",R76="Detectivo"),"Probabilidad",IF(R76="Correctivo","Impacto",""))</f>
        <v>Impacto</v>
      </c>
      <c r="R76" s="73" t="s">
        <v>152</v>
      </c>
      <c r="S76" s="73" t="s">
        <v>129</v>
      </c>
      <c r="T76" s="26" t="str">
        <f t="shared" ref="T76:T105" si="11">IF(AND(R76="Preventivo",S76="Automático"),"50%",IF(AND(R76="Preventivo",S76="Manual"),"40%",IF(AND(R76="Detectivo",S76="Automático"),"40%",IF(AND(R76="Detectivo",S76="Manual"),"30%",IF(AND(R76="Correctivo",S76="Automático"),"35%",IF(AND(R76="Correctivo",S76="Manual"),"25%",""))))))</f>
        <v>25%</v>
      </c>
      <c r="U76" s="73" t="s">
        <v>130</v>
      </c>
      <c r="V76" s="73" t="s">
        <v>131</v>
      </c>
      <c r="W76" s="73" t="s">
        <v>167</v>
      </c>
      <c r="X76" s="110" t="s">
        <v>648</v>
      </c>
      <c r="Y76" s="59">
        <f>IFERROR(IF(Q76="Probabilidad",(K76-(+K76*T76)),IF(Q76="Impacto",K76,"")),"")</f>
        <v>0.6</v>
      </c>
      <c r="Z76" s="58" t="str">
        <f t="shared" ref="Z76:Z105" si="12">IFERROR(IF(Y76="","",IF(Y76&lt;=0.2,"Muy Baja",IF(Y76&lt;=0.4,"Baja",IF(Y76&lt;=0.6,"Media",IF(Y76&lt;=0.8,"Alta","Muy Alta"))))),"")</f>
        <v>Media</v>
      </c>
      <c r="AA76" s="26">
        <f t="shared" ref="AA76:AA105" si="13">+Y76</f>
        <v>0.6</v>
      </c>
      <c r="AB76" s="58" t="str">
        <f t="shared" ref="AB76:AB105" si="14">IFERROR(IF(AC76="","",IF(AC76&lt;=0.2,"Leve",IF(AC76&lt;=0.4,"Menor",IF(AC76&lt;=0.6,"Moderado",IF(AC76&lt;=0.8,"Mayor","Catastrófico"))))),"")</f>
        <v>Moderado</v>
      </c>
      <c r="AC76" s="26">
        <f>IFERROR(IF(Q76="Impacto",(M76-(+M76*T76)),IF(Q76="Probabilidad",M76,"")),"")</f>
        <v>0.44999999999999996</v>
      </c>
      <c r="AD76" s="339" t="s">
        <v>649</v>
      </c>
      <c r="AE76" s="341">
        <f>MIN(Y76:Y78)</f>
        <v>0.6</v>
      </c>
      <c r="AF76" s="339" t="str">
        <f>IFERROR(IF(AG76=0,"",IF(AND(AG76&gt;0,AG76&lt;=0.2),"Leve",IF(AG76&lt;=0.4,"Menor",IF(AG76&lt;=0.6,"Moderado",IF(AG76&lt;=0.8,"Mayor","Catastrófico"))))),"")</f>
        <v>Moderado</v>
      </c>
      <c r="AG76" s="341">
        <f>MIN(AC76:AC78)</f>
        <v>0.44999999999999996</v>
      </c>
      <c r="AH76" s="350" t="s">
        <v>351</v>
      </c>
      <c r="AI76" s="352" t="s">
        <v>134</v>
      </c>
      <c r="AJ76" s="83"/>
      <c r="AK76" s="379" t="s">
        <v>695</v>
      </c>
      <c r="AL76" s="398" t="s">
        <v>708</v>
      </c>
      <c r="AM76" s="379" t="s">
        <v>753</v>
      </c>
      <c r="AN76" s="404" t="s">
        <v>754</v>
      </c>
      <c r="AO76" s="373" t="s">
        <v>682</v>
      </c>
      <c r="AP76" s="389"/>
      <c r="AQ76" s="373" t="s">
        <v>682</v>
      </c>
      <c r="AR76" s="389"/>
      <c r="AS76" s="60"/>
      <c r="AT76" s="60"/>
      <c r="AU76" s="60"/>
      <c r="AV76" s="60"/>
      <c r="AW76" s="60"/>
      <c r="AX76" s="60"/>
      <c r="AY76" s="60"/>
    </row>
    <row r="77" spans="1:51" ht="126.6" customHeight="1" x14ac:dyDescent="0.25">
      <c r="A77" s="353"/>
      <c r="B77" s="346"/>
      <c r="C77" s="346"/>
      <c r="D77" s="346"/>
      <c r="E77" s="346"/>
      <c r="F77" s="346"/>
      <c r="G77" s="360"/>
      <c r="H77" s="75" t="s">
        <v>650</v>
      </c>
      <c r="I77" s="346"/>
      <c r="J77" s="340"/>
      <c r="K77" s="411"/>
      <c r="L77" s="340"/>
      <c r="M77" s="411"/>
      <c r="N77" s="351"/>
      <c r="O77" s="25">
        <v>2</v>
      </c>
      <c r="P77" s="72" t="s">
        <v>651</v>
      </c>
      <c r="Q77" s="25" t="str">
        <f t="shared" si="10"/>
        <v/>
      </c>
      <c r="R77" s="73"/>
      <c r="S77" s="73"/>
      <c r="T77" s="26" t="str">
        <f t="shared" si="11"/>
        <v/>
      </c>
      <c r="U77" s="73"/>
      <c r="V77" s="73"/>
      <c r="W77" s="73"/>
      <c r="X77" s="78" t="s">
        <v>226</v>
      </c>
      <c r="Y77" s="59">
        <f>Y76</f>
        <v>0.6</v>
      </c>
      <c r="Z77" s="58" t="str">
        <f t="shared" si="12"/>
        <v>Media</v>
      </c>
      <c r="AA77" s="26">
        <f t="shared" si="13"/>
        <v>0.6</v>
      </c>
      <c r="AB77" s="58" t="str">
        <f t="shared" si="14"/>
        <v>Moderado</v>
      </c>
      <c r="AC77" s="26">
        <f>AC76</f>
        <v>0.44999999999999996</v>
      </c>
      <c r="AD77" s="340"/>
      <c r="AE77" s="342"/>
      <c r="AF77" s="340"/>
      <c r="AG77" s="342"/>
      <c r="AH77" s="351"/>
      <c r="AI77" s="353"/>
      <c r="AJ77" s="83" t="s">
        <v>652</v>
      </c>
      <c r="AK77" s="380"/>
      <c r="AL77" s="399"/>
      <c r="AM77" s="380"/>
      <c r="AN77" s="405"/>
      <c r="AO77" s="374"/>
      <c r="AP77" s="390"/>
      <c r="AQ77" s="374"/>
      <c r="AR77" s="390"/>
      <c r="AS77" s="60"/>
      <c r="AT77" s="60"/>
      <c r="AU77" s="60"/>
      <c r="AV77" s="60"/>
      <c r="AW77" s="60"/>
      <c r="AX77" s="60"/>
      <c r="AY77" s="60"/>
    </row>
    <row r="78" spans="1:51" ht="106.8" customHeight="1" x14ac:dyDescent="0.25">
      <c r="A78" s="353"/>
      <c r="B78" s="346"/>
      <c r="C78" s="346"/>
      <c r="D78" s="346"/>
      <c r="E78" s="346"/>
      <c r="F78" s="346"/>
      <c r="G78" s="360"/>
      <c r="H78" s="84"/>
      <c r="I78" s="346"/>
      <c r="J78" s="340"/>
      <c r="K78" s="411"/>
      <c r="L78" s="340"/>
      <c r="M78" s="411"/>
      <c r="N78" s="351"/>
      <c r="O78" s="25">
        <v>3</v>
      </c>
      <c r="P78" s="77"/>
      <c r="Q78" s="25" t="str">
        <f t="shared" si="10"/>
        <v/>
      </c>
      <c r="R78" s="73"/>
      <c r="S78" s="73"/>
      <c r="T78" s="26" t="str">
        <f t="shared" si="11"/>
        <v/>
      </c>
      <c r="U78" s="73"/>
      <c r="V78" s="73"/>
      <c r="W78" s="73"/>
      <c r="X78" s="78"/>
      <c r="Y78" s="59" t="str">
        <f>IFERROR(IF(AND(Q77="Probabilidad",Q78="Probabilidad"),(AA77-(+AA77*T78)),IF(AND(Q77="Impacto",Q78="Probabilidad"),(#REF!-(+#REF!*T78)),IF(Q78="Impacto",AA77,""))),"")</f>
        <v/>
      </c>
      <c r="Z78" s="58" t="str">
        <f t="shared" si="12"/>
        <v/>
      </c>
      <c r="AA78" s="26" t="str">
        <f t="shared" si="13"/>
        <v/>
      </c>
      <c r="AB78" s="58" t="str">
        <f t="shared" si="14"/>
        <v/>
      </c>
      <c r="AC78" s="26" t="str">
        <f>IFERROR(IF(AND(Q77="Impacto",Q78="Impacto"),(AC77-(+AC77*T78)),IF(AND(Q77="Probabilidad",Q78="Impacto"),(#REF!-(+#REF!*T78)),IF(Q78="Probabilidad",AC77,""))),"")</f>
        <v/>
      </c>
      <c r="AD78" s="340"/>
      <c r="AE78" s="342"/>
      <c r="AF78" s="340"/>
      <c r="AG78" s="342"/>
      <c r="AH78" s="351"/>
      <c r="AI78" s="353"/>
      <c r="AJ78" s="80"/>
      <c r="AK78" s="380"/>
      <c r="AL78" s="399"/>
      <c r="AM78" s="380"/>
      <c r="AN78" s="405"/>
      <c r="AO78" s="374"/>
      <c r="AP78" s="390"/>
      <c r="AQ78" s="374"/>
      <c r="AR78" s="390"/>
      <c r="AS78" s="60"/>
      <c r="AT78" s="60"/>
      <c r="AU78" s="60"/>
      <c r="AV78" s="60"/>
      <c r="AW78" s="60"/>
      <c r="AX78" s="60"/>
      <c r="AY78" s="60"/>
    </row>
    <row r="79" spans="1:51" ht="135" customHeight="1" x14ac:dyDescent="0.25">
      <c r="A79" s="331" t="s">
        <v>378</v>
      </c>
      <c r="B79" s="332" t="s">
        <v>653</v>
      </c>
      <c r="C79" s="332" t="s">
        <v>379</v>
      </c>
      <c r="D79" s="332" t="s">
        <v>380</v>
      </c>
      <c r="E79" s="332" t="s">
        <v>381</v>
      </c>
      <c r="F79" s="332" t="s">
        <v>382</v>
      </c>
      <c r="G79" s="334" t="s">
        <v>383</v>
      </c>
      <c r="H79" s="82" t="s">
        <v>384</v>
      </c>
      <c r="I79" s="345" t="s">
        <v>658</v>
      </c>
      <c r="J79" s="339" t="s">
        <v>206</v>
      </c>
      <c r="K79" s="347">
        <f>IF(J79="","",IF(J79="Muy Baja",0.2,IF(J79="Baja",0.4,IF(J79="Media",0.6,IF(J79="Alta",0.8,IF(J79="Muy Alta",1,))))))</f>
        <v>0.6</v>
      </c>
      <c r="L79" s="339" t="s">
        <v>125</v>
      </c>
      <c r="M79" s="347">
        <f>IF(L79="","",IF(L79="Leve",0.2,IF(L79="Menor",0.4,IF(L79="Moderado",0.6,IF(L79="Mayor",0.8,IF(L79="Catastrófico",1,))))))</f>
        <v>0.6</v>
      </c>
      <c r="N79" s="357" t="str">
        <f>IF(OR(AND(J79="Muy Baja",L79="Leve"),AND(J79="Muy Baja",L79="Menor"),AND(J79="Baja",L79="Leve")),"Bajo",IF(OR(AND(J79="Muy baja",L79="Moderado"),AND(J79="Baja",L79="Menor"),AND(J79="Baja",L79="Moderado"),AND(J79="Media",L79="Leve"),AND(J79="Media",L79="Menor"),AND(J79="Media",L79="Moderado"),AND(J79="Alta",L79="Leve"),AND(J79="Alta",L79="Menor")),"Moderado",IF(OR(AND(J79="Muy Baja",L79="Mayor"),AND(J79="Baja",L79="Mayor"),AND(J79="Media",L79="Mayor"),AND(J79="Alta",L79="Moderado"),AND(J79="Alta",L79="Mayor"),AND(J79="Muy Alta",L79="Leve"),AND(J79="Muy Alta",L79="Menor"),AND(J79="Muy Alta",L79="Moderado"),AND(J79="Muy Alta",L79="Mayor")),"Alto",IF(OR(AND(J79="Muy Baja",L79="Catastrófico"),AND(J79="Baja",L79="Catastrófico"),AND(J79="Media",L79="Catastrófico"),AND(J79="Alta",L79="Catastrófico"),AND(J79="Muy Alta",L79="Catastrófico")),"Extremo",""))))</f>
        <v>Moderado</v>
      </c>
      <c r="O79" s="25">
        <v>1</v>
      </c>
      <c r="P79" s="77" t="s">
        <v>385</v>
      </c>
      <c r="Q79" s="25" t="str">
        <f t="shared" si="10"/>
        <v>Probabilidad</v>
      </c>
      <c r="R79" s="73" t="s">
        <v>128</v>
      </c>
      <c r="S79" s="73" t="s">
        <v>129</v>
      </c>
      <c r="T79" s="26" t="str">
        <f t="shared" si="11"/>
        <v>30%</v>
      </c>
      <c r="U79" s="73" t="s">
        <v>130</v>
      </c>
      <c r="V79" s="73" t="s">
        <v>131</v>
      </c>
      <c r="W79" s="73" t="s">
        <v>132</v>
      </c>
      <c r="X79" s="25" t="s">
        <v>386</v>
      </c>
      <c r="Y79" s="59">
        <f>IFERROR(IF(Q79="Probabilidad",(K79-(+K79*T79)),IF(Q79="Impacto",K79,"")),"")</f>
        <v>0.42</v>
      </c>
      <c r="Z79" s="58" t="str">
        <f t="shared" si="12"/>
        <v>Media</v>
      </c>
      <c r="AA79" s="26">
        <f t="shared" si="13"/>
        <v>0.42</v>
      </c>
      <c r="AB79" s="58" t="str">
        <f t="shared" si="14"/>
        <v>Moderado</v>
      </c>
      <c r="AC79" s="26">
        <f>IFERROR(IF(Q79="Impacto",(M79-(+M79*T79)),IF(Q79="Probabilidad",M79,"")),"")</f>
        <v>0.6</v>
      </c>
      <c r="AD79" s="339" t="str">
        <f>IFERROR(IF(AE79=0,"",IF(AND(AE79&gt;0,AE79&lt;=0.2),"Muy Baja",IF(AE79&lt;=0.4,"Baja",IF(AE79&lt;=0.6,"Media",IF(AE79&lt;=0.8,"Alta","Muy Alta"))))),"")</f>
        <v>Muy Baja</v>
      </c>
      <c r="AE79" s="341">
        <f>MIN(Y79:Y83)</f>
        <v>7.5600000000000001E-2</v>
      </c>
      <c r="AF79" s="339" t="str">
        <f>IFERROR(IF(AG79=0,"",IF(AND(AG79&gt;0,AG79&lt;=0.2),"Leve",IF(AG79&lt;=0.4,"Menor",IF(AG79&lt;=0.6,"Moderado",IF(AG79&lt;=0.8,"Mayor","Catastrófico"))))),"")</f>
        <v>Moderado</v>
      </c>
      <c r="AG79" s="341">
        <f>MIN(AC79:AC83)</f>
        <v>0.6</v>
      </c>
      <c r="AH79" s="350" t="str">
        <f>IFERROR(IF(OR(AND(AD79="Muy Baja",AF79="Leve"),AND(AD79="Muy Baja",AF79="Menor"),AND(AD79="Baja",AF79="Leve")),"Bajo",IF(OR(AND(AD79="Muy Baja",AF79="Moderado"),AND(AD79="Baja",AF79="Menor"),AND(AD79="Baja",AF79="Moderado"),AND(AD79="Media",AF79="Leve"),AND(AD79="Media",AF79="Menor"),AND(AD79="Media",AF79="Moderado"),AND(AD79="Alta",AF79="Leve"),AND(AD79="Alta",AF79="Menor")),"Moderado",IF(OR(AND(AD79="Muy Baja",AF79="Mayor"),AND(AD79="Baja",AF79="Mayor"),AND(AD79="Media",AF79="Mayor"),AND(AD79="Alta",AF79="Moderado"),AND(AD79="Alta",AF79="Mayor"),AND(AD79="Muy Alta",AF79="Leve"),AND(AD79="Muy Alta",AF79="Menor"),AND(AD79="Muy Alta",AF79="Moderado"),AND(AD79="Muy Alta",AF79="Mayor")),"Alto",IF(OR(AND(AD79="Muy Baja",AF79="Catastrófico"),AND(AD79="Baja",AF79="Catastrófico"),AND(AD79="Media",AF79="Catastrófico"),AND(AD79="Alta",AF79="Catastrófico"),AND(AD79="Muy Alta",AF79="Catastrófico")),"Extremo","")))),"")</f>
        <v>Moderado</v>
      </c>
      <c r="AI79" s="352" t="s">
        <v>134</v>
      </c>
      <c r="AJ79" s="83" t="s">
        <v>387</v>
      </c>
      <c r="AK79" s="395" t="s">
        <v>696</v>
      </c>
      <c r="AL79" s="355" t="s">
        <v>708</v>
      </c>
      <c r="AM79" s="395" t="s">
        <v>696</v>
      </c>
      <c r="AN79" s="426" t="s">
        <v>755</v>
      </c>
      <c r="AO79" s="389" t="s">
        <v>682</v>
      </c>
      <c r="AP79" s="425"/>
      <c r="AQ79" s="389" t="s">
        <v>682</v>
      </c>
      <c r="AR79" s="425"/>
      <c r="AS79" s="60"/>
      <c r="AT79" s="60"/>
      <c r="AU79" s="60"/>
      <c r="AV79" s="60"/>
      <c r="AW79" s="60"/>
    </row>
    <row r="80" spans="1:51" ht="158.25" customHeight="1" x14ac:dyDescent="0.25">
      <c r="A80" s="331"/>
      <c r="B80" s="332"/>
      <c r="C80" s="332"/>
      <c r="D80" s="332"/>
      <c r="E80" s="332"/>
      <c r="F80" s="332"/>
      <c r="G80" s="334"/>
      <c r="I80" s="346"/>
      <c r="J80" s="340"/>
      <c r="K80" s="347"/>
      <c r="L80" s="340"/>
      <c r="M80" s="347"/>
      <c r="N80" s="357"/>
      <c r="O80" s="25">
        <v>2</v>
      </c>
      <c r="P80" s="77" t="s">
        <v>388</v>
      </c>
      <c r="Q80" s="25" t="str">
        <f t="shared" si="10"/>
        <v>Probabilidad</v>
      </c>
      <c r="R80" s="73" t="s">
        <v>137</v>
      </c>
      <c r="S80" s="73" t="s">
        <v>389</v>
      </c>
      <c r="T80" s="26" t="str">
        <f t="shared" si="11"/>
        <v>50%</v>
      </c>
      <c r="U80" s="73" t="s">
        <v>130</v>
      </c>
      <c r="V80" s="73" t="s">
        <v>131</v>
      </c>
      <c r="W80" s="73" t="s">
        <v>132</v>
      </c>
      <c r="X80" s="78" t="s">
        <v>390</v>
      </c>
      <c r="Y80" s="59">
        <f>IFERROR(IF(AND(Q79="Probabilidad",Q80="Probabilidad"),(AA79-(+AA79*T80)),IF(Q80="Probabilidad",(K79-(+K79*T80)),IF(Q80="Impacto",AA79,""))),"")</f>
        <v>0.21</v>
      </c>
      <c r="Z80" s="58" t="str">
        <f t="shared" si="12"/>
        <v>Baja</v>
      </c>
      <c r="AA80" s="26">
        <f t="shared" si="13"/>
        <v>0.21</v>
      </c>
      <c r="AB80" s="58" t="str">
        <f t="shared" si="14"/>
        <v>Moderado</v>
      </c>
      <c r="AC80" s="26">
        <f>IFERROR(IF(AND(Q79="Impacto",Q80="Impacto"),(AC79-(+AC79*T80)),IF(Q80="Impacto",(#REF!-(+#REF!*T80)),IF(Q80="Probabilidad",AC79,""))),"")</f>
        <v>0.6</v>
      </c>
      <c r="AD80" s="340"/>
      <c r="AE80" s="342"/>
      <c r="AF80" s="340"/>
      <c r="AG80" s="342"/>
      <c r="AH80" s="351"/>
      <c r="AI80" s="353"/>
      <c r="AJ80" s="83" t="s">
        <v>391</v>
      </c>
      <c r="AK80" s="396"/>
      <c r="AL80" s="355"/>
      <c r="AM80" s="396"/>
      <c r="AN80" s="426"/>
      <c r="AO80" s="390"/>
      <c r="AP80" s="425"/>
      <c r="AQ80" s="390"/>
      <c r="AR80" s="425"/>
      <c r="AS80" s="60"/>
      <c r="AT80" s="60"/>
      <c r="AU80" s="60"/>
      <c r="AV80" s="60"/>
      <c r="AW80" s="60"/>
    </row>
    <row r="81" spans="1:49" ht="31.95" customHeight="1" x14ac:dyDescent="0.25">
      <c r="A81" s="331"/>
      <c r="B81" s="332"/>
      <c r="C81" s="332"/>
      <c r="D81" s="332"/>
      <c r="E81" s="332"/>
      <c r="F81" s="332"/>
      <c r="G81" s="334"/>
      <c r="H81" s="84" t="s">
        <v>392</v>
      </c>
      <c r="I81" s="346"/>
      <c r="J81" s="340"/>
      <c r="K81" s="347"/>
      <c r="L81" s="340"/>
      <c r="M81" s="347"/>
      <c r="N81" s="357"/>
      <c r="O81" s="25">
        <v>3</v>
      </c>
      <c r="P81" s="85" t="s">
        <v>393</v>
      </c>
      <c r="Q81" s="25" t="str">
        <f t="shared" si="10"/>
        <v>Probabilidad</v>
      </c>
      <c r="R81" s="73" t="s">
        <v>137</v>
      </c>
      <c r="S81" s="73" t="s">
        <v>129</v>
      </c>
      <c r="T81" s="26" t="str">
        <f t="shared" si="11"/>
        <v>40%</v>
      </c>
      <c r="U81" s="73" t="s">
        <v>130</v>
      </c>
      <c r="V81" s="73" t="s">
        <v>147</v>
      </c>
      <c r="W81" s="73" t="s">
        <v>132</v>
      </c>
      <c r="X81" s="78" t="s">
        <v>394</v>
      </c>
      <c r="Y81" s="59">
        <f>IFERROR(IF(AND(Q80="Probabilidad",Q81="Probabilidad"),(AA80-(+AA80*T81)),IF(AND(Q80="Impacto",Q81="Probabilidad"),(AA79-(+AA79*T81)),IF(Q81="Impacto",AA80,""))),"")</f>
        <v>0.126</v>
      </c>
      <c r="Z81" s="58" t="str">
        <f t="shared" si="12"/>
        <v>Muy Baja</v>
      </c>
      <c r="AA81" s="26">
        <f t="shared" si="13"/>
        <v>0.126</v>
      </c>
      <c r="AB81" s="58" t="str">
        <f t="shared" si="14"/>
        <v>Moderado</v>
      </c>
      <c r="AC81" s="26">
        <f>IFERROR(IF(AND(Q80="Impacto",Q81="Impacto"),(AC80-(+AC80*T81)),IF(AND(Q80="Probabilidad",Q81="Impacto"),(AC79-(+AC79*T81)),IF(Q81="Probabilidad",AC80,""))),"")</f>
        <v>0.6</v>
      </c>
      <c r="AD81" s="340"/>
      <c r="AE81" s="342"/>
      <c r="AF81" s="340"/>
      <c r="AG81" s="342"/>
      <c r="AH81" s="351"/>
      <c r="AI81" s="353"/>
      <c r="AJ81" s="83" t="s">
        <v>395</v>
      </c>
      <c r="AK81" s="396"/>
      <c r="AL81" s="355"/>
      <c r="AM81" s="396"/>
      <c r="AN81" s="426"/>
      <c r="AO81" s="390"/>
      <c r="AP81" s="425"/>
      <c r="AQ81" s="390"/>
      <c r="AR81" s="425"/>
      <c r="AS81" s="60"/>
      <c r="AT81" s="60"/>
      <c r="AU81" s="60"/>
      <c r="AV81" s="60"/>
      <c r="AW81" s="60"/>
    </row>
    <row r="82" spans="1:49" ht="36.6" customHeight="1" x14ac:dyDescent="0.25">
      <c r="A82" s="331"/>
      <c r="B82" s="332"/>
      <c r="C82" s="332"/>
      <c r="D82" s="332"/>
      <c r="E82" s="332"/>
      <c r="F82" s="332"/>
      <c r="G82" s="334"/>
      <c r="H82" s="84" t="s">
        <v>396</v>
      </c>
      <c r="I82" s="346"/>
      <c r="J82" s="340"/>
      <c r="K82" s="347"/>
      <c r="L82" s="340"/>
      <c r="M82" s="347"/>
      <c r="N82" s="357"/>
      <c r="O82" s="25">
        <v>4</v>
      </c>
      <c r="P82" s="77" t="s">
        <v>397</v>
      </c>
      <c r="Q82" s="25" t="str">
        <f t="shared" si="10"/>
        <v>Probabilidad</v>
      </c>
      <c r="R82" s="73" t="s">
        <v>137</v>
      </c>
      <c r="S82" s="73" t="s">
        <v>129</v>
      </c>
      <c r="T82" s="26" t="str">
        <f t="shared" si="11"/>
        <v>40%</v>
      </c>
      <c r="U82" s="73" t="s">
        <v>130</v>
      </c>
      <c r="V82" s="73" t="s">
        <v>131</v>
      </c>
      <c r="W82" s="73" t="s">
        <v>132</v>
      </c>
      <c r="X82" s="78" t="s">
        <v>398</v>
      </c>
      <c r="Y82" s="59">
        <f>IFERROR(IF(AND(Q81="Probabilidad",Q82="Probabilidad"),(AA81-(+AA81*T82)),IF(AND(Q81="Impacto",Q82="Probabilidad"),(AA80-(+AA80*T82)),IF(Q82="Impacto",AA81,""))),"")</f>
        <v>7.5600000000000001E-2</v>
      </c>
      <c r="Z82" s="58" t="str">
        <f t="shared" si="12"/>
        <v>Muy Baja</v>
      </c>
      <c r="AA82" s="26">
        <f t="shared" si="13"/>
        <v>7.5600000000000001E-2</v>
      </c>
      <c r="AB82" s="58" t="str">
        <f t="shared" si="14"/>
        <v>Moderado</v>
      </c>
      <c r="AC82" s="26">
        <f>IFERROR(IF(AND(Q81="Impacto",Q82="Impacto"),(AC81-(+AC81*T82)),IF(AND(Q81="Probabilidad",Q82="Impacto"),(AC80-(+AC80*T82)),IF(Q82="Probabilidad",AC81,""))),"")</f>
        <v>0.6</v>
      </c>
      <c r="AD82" s="340"/>
      <c r="AE82" s="342"/>
      <c r="AF82" s="340"/>
      <c r="AG82" s="342"/>
      <c r="AH82" s="351"/>
      <c r="AI82" s="353"/>
      <c r="AJ82" s="80"/>
      <c r="AK82" s="396"/>
      <c r="AL82" s="355"/>
      <c r="AM82" s="396"/>
      <c r="AN82" s="426"/>
      <c r="AO82" s="390"/>
      <c r="AP82" s="425"/>
      <c r="AQ82" s="390"/>
      <c r="AR82" s="425"/>
      <c r="AS82" s="60"/>
      <c r="AT82" s="60"/>
      <c r="AU82" s="60"/>
      <c r="AV82" s="60"/>
      <c r="AW82" s="60"/>
    </row>
    <row r="83" spans="1:49" ht="42" customHeight="1" x14ac:dyDescent="0.25">
      <c r="A83" s="331"/>
      <c r="B83" s="332"/>
      <c r="C83" s="332"/>
      <c r="D83" s="332"/>
      <c r="E83" s="332"/>
      <c r="F83" s="332"/>
      <c r="G83" s="334"/>
      <c r="H83" s="84" t="s">
        <v>399</v>
      </c>
      <c r="I83" s="346"/>
      <c r="J83" s="340"/>
      <c r="K83" s="347"/>
      <c r="L83" s="340"/>
      <c r="M83" s="347"/>
      <c r="N83" s="357"/>
      <c r="O83" s="25">
        <v>5</v>
      </c>
      <c r="P83" s="86" t="s">
        <v>400</v>
      </c>
      <c r="Q83" s="25" t="str">
        <f t="shared" si="10"/>
        <v/>
      </c>
      <c r="R83" s="73" t="s">
        <v>168</v>
      </c>
      <c r="S83" s="73" t="s">
        <v>168</v>
      </c>
      <c r="T83" s="26" t="str">
        <f t="shared" si="11"/>
        <v/>
      </c>
      <c r="U83" s="73" t="s">
        <v>168</v>
      </c>
      <c r="V83" s="73" t="s">
        <v>168</v>
      </c>
      <c r="W83" s="73" t="s">
        <v>168</v>
      </c>
      <c r="X83" s="25" t="s">
        <v>168</v>
      </c>
      <c r="Y83" s="59" t="str">
        <f>IFERROR(IF(AND(Q82="Probabilidad",Q83="Probabilidad"),(AA82-(+AA82*T83)),IF(AND(Q82="Impacto",Q83="Probabilidad"),(AA81-(+AA81*T83)),IF(Q83="Impacto",AA82,""))),"")</f>
        <v/>
      </c>
      <c r="Z83" s="58" t="str">
        <f t="shared" si="12"/>
        <v/>
      </c>
      <c r="AA83" s="26" t="str">
        <f t="shared" si="13"/>
        <v/>
      </c>
      <c r="AB83" s="58" t="str">
        <f t="shared" si="14"/>
        <v/>
      </c>
      <c r="AC83" s="26" t="str">
        <f>IFERROR(IF(AND(Q82="Impacto",Q83="Impacto"),(AC82-(+AC82*T83)),IF(AND(Q82="Probabilidad",Q83="Impacto"),(AC81-(+AC81*T83)),IF(Q83="Probabilidad",AC82,""))),"")</f>
        <v/>
      </c>
      <c r="AD83" s="340"/>
      <c r="AE83" s="342"/>
      <c r="AF83" s="340"/>
      <c r="AG83" s="342"/>
      <c r="AH83" s="351"/>
      <c r="AI83" s="353"/>
      <c r="AJ83" s="83" t="s">
        <v>401</v>
      </c>
      <c r="AK83" s="397"/>
      <c r="AL83" s="355"/>
      <c r="AM83" s="397"/>
      <c r="AN83" s="426"/>
      <c r="AO83" s="391"/>
      <c r="AP83" s="425"/>
      <c r="AQ83" s="391"/>
      <c r="AR83" s="425"/>
      <c r="AS83" s="60"/>
      <c r="AT83" s="60"/>
      <c r="AU83" s="60"/>
      <c r="AV83" s="60"/>
      <c r="AW83" s="60"/>
    </row>
    <row r="84" spans="1:49" ht="137.25" customHeight="1" x14ac:dyDescent="0.25">
      <c r="A84" s="331" t="s">
        <v>402</v>
      </c>
      <c r="B84" s="332" t="s">
        <v>557</v>
      </c>
      <c r="C84" s="332" t="s">
        <v>403</v>
      </c>
      <c r="D84" s="332" t="s">
        <v>229</v>
      </c>
      <c r="E84" s="332" t="s">
        <v>404</v>
      </c>
      <c r="F84" s="332" t="s">
        <v>405</v>
      </c>
      <c r="G84" s="334" t="s">
        <v>406</v>
      </c>
      <c r="I84" s="332" t="s">
        <v>658</v>
      </c>
      <c r="J84" s="424" t="s">
        <v>206</v>
      </c>
      <c r="K84" s="347">
        <f>IF(J84="","",IF(J84="Muy Baja",0.2,IF(J84="Baja",0.4,IF(J84="Media",0.6,IF(J84="Alta",0.8,IF(J84="Muy Alta",1,))))))</f>
        <v>0.6</v>
      </c>
      <c r="L84" s="424" t="s">
        <v>160</v>
      </c>
      <c r="M84" s="347">
        <f>IF(L84="","",IF(L84="Leve",0.2,IF(L84="Menor",0.4,IF(L84="Moderado",0.6,IF(L84="Mayor",0.8,IF(L84="Catastrófico",1,))))))</f>
        <v>1</v>
      </c>
      <c r="N84" s="357" t="str">
        <f>IF(OR(AND(J84="Muy Baja",L84="Leve"),AND(J84="Muy Baja",L84="Menor"),AND(J84="Baja",L84="Leve")),"Bajo",IF(OR(AND(J84="Muy baja",L84="Moderado"),AND(J84="Baja",L84="Menor"),AND(J84="Baja",L84="Moderado"),AND(J84="Media",L84="Leve"),AND(J84="Media",L84="Menor"),AND(J84="Media",L84="Moderado"),AND(J84="Alta",L84="Leve"),AND(J84="Alta",L84="Menor")),"Moderado",IF(OR(AND(J84="Muy Baja",L84="Mayor"),AND(J84="Baja",L84="Mayor"),AND(J84="Media",L84="Mayor"),AND(J84="Alta",L84="Moderado"),AND(J84="Alta",L84="Mayor"),AND(J84="Muy Alta",L84="Leve"),AND(J84="Muy Alta",L84="Menor"),AND(J84="Muy Alta",L84="Moderado"),AND(J84="Muy Alta",L84="Mayor")),"Alto",IF(OR(AND(J84="Muy Baja",L84="Catastrófico"),AND(J84="Baja",L84="Catastrófico"),AND(J84="Media",L84="Catastrófico"),AND(J84="Alta",L84="Catastrófico"),AND(J84="Muy Alta",L84="Catastrófico")),"Extremo",""))))</f>
        <v>Extremo</v>
      </c>
      <c r="O84" s="25"/>
      <c r="P84" s="77" t="s">
        <v>407</v>
      </c>
      <c r="Q84" s="25" t="str">
        <f t="shared" si="10"/>
        <v>Impacto</v>
      </c>
      <c r="R84" s="73" t="s">
        <v>152</v>
      </c>
      <c r="S84" s="73" t="s">
        <v>129</v>
      </c>
      <c r="T84" s="26" t="str">
        <f t="shared" si="11"/>
        <v>25%</v>
      </c>
      <c r="U84" s="73" t="s">
        <v>130</v>
      </c>
      <c r="V84" s="73" t="s">
        <v>131</v>
      </c>
      <c r="W84" s="73" t="s">
        <v>132</v>
      </c>
      <c r="X84" s="78" t="s">
        <v>408</v>
      </c>
      <c r="Y84" s="59">
        <f>IFERROR(IF(Q84="Probabilidad",(K84-(+K84*T84)),IF(Q84="Impacto",K84,"")),"")</f>
        <v>0.6</v>
      </c>
      <c r="Z84" s="58" t="str">
        <f t="shared" si="12"/>
        <v>Media</v>
      </c>
      <c r="AA84" s="26">
        <f t="shared" si="13"/>
        <v>0.6</v>
      </c>
      <c r="AB84" s="58" t="str">
        <f t="shared" si="14"/>
        <v>Mayor</v>
      </c>
      <c r="AC84" s="26">
        <f>IFERROR(IF(Q84="Impacto",(M84-(+M84*T84)),IF(Q84="Probabilidad",M84,"")),"")</f>
        <v>0.75</v>
      </c>
      <c r="AD84" s="424" t="str">
        <f>IFERROR(IF(AE84=0,"",IF(AND(AE84&gt;0,AE84&lt;=0.2),"Muy Baja",IF(AE84&lt;=0.4,"Baja",IF(AE84&lt;=0.6,"Media",IF(AE84&lt;=0.8,"Alta","Muy Alta"))))),"")</f>
        <v>Muy Baja</v>
      </c>
      <c r="AE84" s="435">
        <f>MIN(Y84:Y89)</f>
        <v>7.7759999999999996E-2</v>
      </c>
      <c r="AF84" s="424" t="str">
        <f>IFERROR(IF(AG84=0,"",IF(AND(AG84&gt;0,AG84&lt;=0.2),"Leve",IF(AG84&lt;=0.4,"Menor",IF(AG84&lt;=0.6,"Moderado",IF(AG84&lt;=0.8,"Mayor","Catastrófico"))))),"")</f>
        <v>Mayor</v>
      </c>
      <c r="AG84" s="435">
        <f>MIN(AC84:AC89)</f>
        <v>0.75</v>
      </c>
      <c r="AH84" s="357" t="str">
        <f>IFERROR(IF(OR(AND(AD84="Muy Baja",AF84="Leve"),AND(AD84="Muy Baja",AF84="Menor"),AND(AD84="Baja",AF84="Leve")),"Bajo",IF(OR(AND(AD84="Muy Baja",AF84="Moderado"),AND(AD84="Baja",AF84="Menor"),AND(AD84="Baja",AF84="Moderado"),AND(AD84="Media",AF84="Leve"),AND(AD84="Media",AF84="Menor"),AND(AD84="Media",AF84="Moderado"),AND(AD84="Alta",AF84="Leve"),AND(AD84="Alta",AF84="Menor")),"Moderado",IF(OR(AND(AD84="Muy Baja",AF84="Mayor"),AND(AD84="Baja",AF84="Mayor"),AND(AD84="Media",AF84="Mayor"),AND(AD84="Alta",AF84="Moderado"),AND(AD84="Alta",AF84="Mayor"),AND(AD84="Muy Alta",AF84="Leve"),AND(AD84="Muy Alta",AF84="Menor"),AND(AD84="Muy Alta",AF84="Moderado"),AND(AD84="Muy Alta",AF84="Mayor")),"Alto",IF(OR(AND(AD84="Muy Baja",AF84="Catastrófico"),AND(AD84="Baja",AF84="Catastrófico"),AND(AD84="Media",AF84="Catastrófico"),AND(AD84="Alta",AF84="Catastrófico"),AND(AD84="Muy Alta",AF84="Catastrófico")),"Extremo","")))),"")</f>
        <v>Alto</v>
      </c>
      <c r="AI84" s="331" t="s">
        <v>134</v>
      </c>
      <c r="AJ84" s="358" t="s">
        <v>409</v>
      </c>
      <c r="AK84" s="359" t="s">
        <v>697</v>
      </c>
      <c r="AL84" s="355" t="s">
        <v>708</v>
      </c>
      <c r="AM84" s="434" t="s">
        <v>697</v>
      </c>
      <c r="AN84" s="355" t="s">
        <v>756</v>
      </c>
      <c r="AO84" s="349" t="s">
        <v>682</v>
      </c>
      <c r="AP84" s="349"/>
      <c r="AQ84" s="349" t="s">
        <v>682</v>
      </c>
      <c r="AR84" s="349"/>
      <c r="AS84" s="60"/>
      <c r="AT84" s="60"/>
      <c r="AU84" s="60"/>
      <c r="AV84" s="60"/>
      <c r="AW84" s="60"/>
    </row>
    <row r="85" spans="1:49" ht="138.75" customHeight="1" x14ac:dyDescent="0.25">
      <c r="A85" s="331"/>
      <c r="B85" s="332"/>
      <c r="C85" s="332"/>
      <c r="D85" s="332"/>
      <c r="E85" s="332"/>
      <c r="F85" s="332"/>
      <c r="G85" s="334"/>
      <c r="H85" s="427" t="s">
        <v>410</v>
      </c>
      <c r="I85" s="332"/>
      <c r="J85" s="424"/>
      <c r="K85" s="347"/>
      <c r="L85" s="424"/>
      <c r="M85" s="347"/>
      <c r="N85" s="357"/>
      <c r="O85" s="25" t="s">
        <v>126</v>
      </c>
      <c r="P85" s="77" t="s">
        <v>411</v>
      </c>
      <c r="Q85" s="25" t="str">
        <f t="shared" si="10"/>
        <v>Probabilidad</v>
      </c>
      <c r="R85" s="73" t="s">
        <v>137</v>
      </c>
      <c r="S85" s="73" t="s">
        <v>129</v>
      </c>
      <c r="T85" s="26" t="str">
        <f t="shared" si="11"/>
        <v>40%</v>
      </c>
      <c r="U85" s="73" t="s">
        <v>162</v>
      </c>
      <c r="V85" s="73" t="s">
        <v>147</v>
      </c>
      <c r="W85" s="73" t="s">
        <v>132</v>
      </c>
      <c r="X85" s="78" t="s">
        <v>412</v>
      </c>
      <c r="Y85" s="59">
        <f>IFERROR(IF(AND(Q84="Probabilidad",Q85="Probabilidad"),(AA84-(+AA84*T85)),IF(Q85="Probabilidad",(K84-(+K84*T85)),IF(Q85="Impacto",AA84,""))),"")</f>
        <v>0.36</v>
      </c>
      <c r="Z85" s="58" t="str">
        <f t="shared" si="12"/>
        <v>Baja</v>
      </c>
      <c r="AA85" s="26">
        <f t="shared" si="13"/>
        <v>0.36</v>
      </c>
      <c r="AB85" s="58" t="str">
        <f t="shared" si="14"/>
        <v>Mayor</v>
      </c>
      <c r="AC85" s="26">
        <f>IFERROR(IF(AND(Q84="Impacto",Q85="Impacto"),(AC84-(+AC84*T85)),IF(Q85="Impacto",(#REF!-(+#REF!*T85)),IF(Q85="Probabilidad",AC84,""))),"")</f>
        <v>0.75</v>
      </c>
      <c r="AD85" s="424"/>
      <c r="AE85" s="435"/>
      <c r="AF85" s="424"/>
      <c r="AG85" s="435"/>
      <c r="AH85" s="357"/>
      <c r="AI85" s="331"/>
      <c r="AJ85" s="358"/>
      <c r="AK85" s="359"/>
      <c r="AL85" s="355"/>
      <c r="AM85" s="434"/>
      <c r="AN85" s="355"/>
      <c r="AO85" s="349"/>
      <c r="AP85" s="349"/>
      <c r="AQ85" s="349"/>
      <c r="AR85" s="349"/>
      <c r="AS85" s="60"/>
      <c r="AT85" s="60"/>
      <c r="AU85" s="60"/>
      <c r="AV85" s="60"/>
      <c r="AW85" s="60"/>
    </row>
    <row r="86" spans="1:49" ht="102" customHeight="1" x14ac:dyDescent="0.25">
      <c r="A86" s="331"/>
      <c r="B86" s="332"/>
      <c r="C86" s="332"/>
      <c r="D86" s="332"/>
      <c r="E86" s="332"/>
      <c r="F86" s="332"/>
      <c r="G86" s="334"/>
      <c r="H86" s="428"/>
      <c r="I86" s="332"/>
      <c r="J86" s="424"/>
      <c r="K86" s="347"/>
      <c r="L86" s="424"/>
      <c r="M86" s="347"/>
      <c r="N86" s="357"/>
      <c r="O86" s="25" t="s">
        <v>135</v>
      </c>
      <c r="P86" s="77" t="s">
        <v>413</v>
      </c>
      <c r="Q86" s="25" t="str">
        <f t="shared" si="10"/>
        <v>Probabilidad</v>
      </c>
      <c r="R86" s="73" t="s">
        <v>137</v>
      </c>
      <c r="S86" s="73" t="s">
        <v>129</v>
      </c>
      <c r="T86" s="26" t="str">
        <f t="shared" si="11"/>
        <v>40%</v>
      </c>
      <c r="U86" s="73" t="s">
        <v>130</v>
      </c>
      <c r="V86" s="73" t="s">
        <v>147</v>
      </c>
      <c r="W86" s="73" t="s">
        <v>132</v>
      </c>
      <c r="X86" s="78" t="s">
        <v>414</v>
      </c>
      <c r="Y86" s="59">
        <f>IFERROR(IF(AND(Q85="Probabilidad",Q86="Probabilidad"),(AA85-(+AA85*T86)),IF(AND(Q85="Impacto",Q86="Probabilidad"),(AA84-(+AA84*T86)),IF(Q86="Impacto",AA85,""))),"")</f>
        <v>0.216</v>
      </c>
      <c r="Z86" s="58" t="str">
        <f t="shared" si="12"/>
        <v>Baja</v>
      </c>
      <c r="AA86" s="26">
        <f t="shared" si="13"/>
        <v>0.216</v>
      </c>
      <c r="AB86" s="58" t="str">
        <f t="shared" si="14"/>
        <v>Mayor</v>
      </c>
      <c r="AC86" s="26">
        <f>IFERROR(IF(AND(Q85="Impacto",Q86="Impacto"),(AC85-(+AC85*T86)),IF(AND(Q85="Probabilidad",Q86="Impacto"),(AC84-(+AC84*T86)),IF(Q86="Probabilidad",AC85,""))),"")</f>
        <v>0.75</v>
      </c>
      <c r="AD86" s="424"/>
      <c r="AE86" s="435"/>
      <c r="AF86" s="424"/>
      <c r="AG86" s="435"/>
      <c r="AH86" s="357"/>
      <c r="AI86" s="331"/>
      <c r="AJ86" s="358"/>
      <c r="AK86" s="359"/>
      <c r="AL86" s="355"/>
      <c r="AM86" s="434"/>
      <c r="AN86" s="355"/>
      <c r="AO86" s="349"/>
      <c r="AP86" s="349"/>
      <c r="AQ86" s="349"/>
      <c r="AR86" s="349"/>
      <c r="AS86" s="60"/>
      <c r="AT86" s="60"/>
      <c r="AU86" s="60"/>
      <c r="AV86" s="60"/>
      <c r="AW86" s="60"/>
    </row>
    <row r="87" spans="1:49" ht="90.75" customHeight="1" x14ac:dyDescent="0.25">
      <c r="A87" s="331"/>
      <c r="B87" s="332"/>
      <c r="C87" s="332"/>
      <c r="D87" s="332"/>
      <c r="E87" s="332"/>
      <c r="F87" s="332"/>
      <c r="G87" s="334"/>
      <c r="H87" s="429"/>
      <c r="I87" s="332"/>
      <c r="J87" s="424"/>
      <c r="K87" s="347"/>
      <c r="L87" s="424"/>
      <c r="M87" s="347"/>
      <c r="N87" s="357"/>
      <c r="O87" s="25" t="s">
        <v>415</v>
      </c>
      <c r="P87" s="77" t="s">
        <v>416</v>
      </c>
      <c r="Q87" s="25" t="str">
        <f t="shared" si="10"/>
        <v>Probabilidad</v>
      </c>
      <c r="R87" s="73" t="s">
        <v>137</v>
      </c>
      <c r="S87" s="73" t="s">
        <v>129</v>
      </c>
      <c r="T87" s="26" t="str">
        <f t="shared" si="11"/>
        <v>40%</v>
      </c>
      <c r="U87" s="73" t="s">
        <v>130</v>
      </c>
      <c r="V87" s="73" t="s">
        <v>131</v>
      </c>
      <c r="W87" s="73" t="s">
        <v>132</v>
      </c>
      <c r="X87" s="78" t="s">
        <v>417</v>
      </c>
      <c r="Y87" s="59">
        <f>IFERROR(IF(AND(Q86="Probabilidad",Q87="Probabilidad"),(AA86-(+AA86*T87)),IF(AND(Q86="Impacto",Q87="Probabilidad"),(AA85-(+AA85*T87)),IF(Q87="Impacto",AA86,""))),"")</f>
        <v>0.12959999999999999</v>
      </c>
      <c r="Z87" s="58" t="str">
        <f t="shared" si="12"/>
        <v>Muy Baja</v>
      </c>
      <c r="AA87" s="26">
        <f t="shared" si="13"/>
        <v>0.12959999999999999</v>
      </c>
      <c r="AB87" s="58" t="str">
        <f t="shared" si="14"/>
        <v>Mayor</v>
      </c>
      <c r="AC87" s="26">
        <f>IFERROR(IF(AND(Q86="Impacto",Q87="Impacto"),(AC86-(+AC86*T87)),IF(AND(Q86="Probabilidad",Q87="Impacto"),(AC85-(+AC85*T87)),IF(Q87="Probabilidad",AC86,""))),"")</f>
        <v>0.75</v>
      </c>
      <c r="AD87" s="424"/>
      <c r="AE87" s="435"/>
      <c r="AF87" s="424"/>
      <c r="AG87" s="435"/>
      <c r="AH87" s="357"/>
      <c r="AI87" s="331"/>
      <c r="AJ87" s="358"/>
      <c r="AK87" s="359"/>
      <c r="AL87" s="355"/>
      <c r="AM87" s="434"/>
      <c r="AN87" s="355"/>
      <c r="AO87" s="349"/>
      <c r="AP87" s="349"/>
      <c r="AQ87" s="349"/>
      <c r="AR87" s="349"/>
      <c r="AS87" s="60"/>
      <c r="AT87" s="60"/>
      <c r="AU87" s="60"/>
      <c r="AV87" s="60"/>
      <c r="AW87" s="60"/>
    </row>
    <row r="88" spans="1:49" ht="75.75" customHeight="1" x14ac:dyDescent="0.25">
      <c r="A88" s="331"/>
      <c r="B88" s="332"/>
      <c r="C88" s="332"/>
      <c r="D88" s="332"/>
      <c r="E88" s="332"/>
      <c r="F88" s="332"/>
      <c r="G88" s="334"/>
      <c r="H88" s="84" t="s">
        <v>418</v>
      </c>
      <c r="I88" s="332"/>
      <c r="J88" s="424"/>
      <c r="K88" s="347"/>
      <c r="L88" s="424"/>
      <c r="M88" s="347"/>
      <c r="N88" s="357"/>
      <c r="O88" s="25">
        <v>2</v>
      </c>
      <c r="P88" s="77" t="s">
        <v>419</v>
      </c>
      <c r="Q88" s="25" t="str">
        <f t="shared" si="10"/>
        <v>Probabilidad</v>
      </c>
      <c r="R88" s="73" t="s">
        <v>137</v>
      </c>
      <c r="S88" s="73" t="s">
        <v>129</v>
      </c>
      <c r="T88" s="26" t="str">
        <f t="shared" si="11"/>
        <v>40%</v>
      </c>
      <c r="U88" s="73" t="s">
        <v>130</v>
      </c>
      <c r="V88" s="73" t="s">
        <v>131</v>
      </c>
      <c r="W88" s="73" t="s">
        <v>132</v>
      </c>
      <c r="X88" s="78" t="s">
        <v>420</v>
      </c>
      <c r="Y88" s="59">
        <f>IFERROR(IF(AND(Q87="Probabilidad",Q88="Probabilidad"),(AA87-(+AA87*T88)),IF(AND(Q87="Impacto",Q88="Probabilidad"),(AA86-(+AA86*T88)),IF(Q88="Impacto",AA87,""))),"")</f>
        <v>7.7759999999999996E-2</v>
      </c>
      <c r="Z88" s="58" t="str">
        <f t="shared" si="12"/>
        <v>Muy Baja</v>
      </c>
      <c r="AA88" s="26">
        <f t="shared" si="13"/>
        <v>7.7759999999999996E-2</v>
      </c>
      <c r="AB88" s="58" t="str">
        <f t="shared" si="14"/>
        <v>Mayor</v>
      </c>
      <c r="AC88" s="26">
        <f>IFERROR(IF(AND(Q87="Impacto",Q88="Impacto"),(AC87-(+AC87*T88)),IF(AND(Q87="Probabilidad",Q88="Impacto"),(AC86-(+AC86*T88)),IF(Q88="Probabilidad",AC87,""))),"")</f>
        <v>0.75</v>
      </c>
      <c r="AD88" s="424"/>
      <c r="AE88" s="435"/>
      <c r="AF88" s="424"/>
      <c r="AG88" s="435"/>
      <c r="AH88" s="357"/>
      <c r="AI88" s="331"/>
      <c r="AJ88" s="358"/>
      <c r="AK88" s="359"/>
      <c r="AL88" s="355"/>
      <c r="AM88" s="434"/>
      <c r="AN88" s="355"/>
      <c r="AO88" s="349"/>
      <c r="AP88" s="349"/>
      <c r="AQ88" s="349"/>
      <c r="AR88" s="349"/>
      <c r="AS88" s="60"/>
      <c r="AT88" s="60"/>
      <c r="AU88" s="60"/>
      <c r="AV88" s="60"/>
      <c r="AW88" s="60"/>
    </row>
    <row r="89" spans="1:49" ht="51.75" customHeight="1" x14ac:dyDescent="0.25">
      <c r="A89" s="331"/>
      <c r="B89" s="332"/>
      <c r="C89" s="332"/>
      <c r="D89" s="332"/>
      <c r="E89" s="332"/>
      <c r="F89" s="332"/>
      <c r="G89" s="334"/>
      <c r="H89" s="72" t="s">
        <v>421</v>
      </c>
      <c r="I89" s="332"/>
      <c r="J89" s="424"/>
      <c r="K89" s="347"/>
      <c r="L89" s="424"/>
      <c r="M89" s="347"/>
      <c r="N89" s="357"/>
      <c r="O89" s="25">
        <v>3</v>
      </c>
      <c r="P89" s="75" t="s">
        <v>400</v>
      </c>
      <c r="Q89" s="25" t="str">
        <f t="shared" si="10"/>
        <v/>
      </c>
      <c r="R89" s="73" t="s">
        <v>168</v>
      </c>
      <c r="S89" s="73" t="s">
        <v>168</v>
      </c>
      <c r="T89" s="26" t="str">
        <f t="shared" si="11"/>
        <v/>
      </c>
      <c r="U89" s="73" t="s">
        <v>168</v>
      </c>
      <c r="V89" s="73" t="s">
        <v>168</v>
      </c>
      <c r="W89" s="73" t="s">
        <v>168</v>
      </c>
      <c r="X89" s="78" t="s">
        <v>168</v>
      </c>
      <c r="Y89" s="59" t="str">
        <f>IFERROR(IF(AND(Q88="Probabilidad",Q89="Probabilidad"),(AA88-(+AA88*T89)),IF(AND(Q88="Impacto",Q89="Probabilidad"),(AA87-(+AA87*T89)),IF(Q89="Impacto",AA88,""))),"")</f>
        <v/>
      </c>
      <c r="Z89" s="58" t="str">
        <f t="shared" si="12"/>
        <v/>
      </c>
      <c r="AA89" s="26" t="str">
        <f t="shared" si="13"/>
        <v/>
      </c>
      <c r="AB89" s="58" t="str">
        <f t="shared" si="14"/>
        <v/>
      </c>
      <c r="AC89" s="26" t="str">
        <f>IFERROR(IF(AND(Q88="Impacto",Q89="Impacto"),(AC88-(+AC88*T89)),IF(AND(Q88="Probabilidad",Q89="Impacto"),(AC87-(+AC87*T89)),IF(Q89="Probabilidad",AC88,""))),"")</f>
        <v/>
      </c>
      <c r="AD89" s="424"/>
      <c r="AE89" s="435"/>
      <c r="AF89" s="424"/>
      <c r="AG89" s="435"/>
      <c r="AH89" s="357"/>
      <c r="AI89" s="331"/>
      <c r="AJ89" s="358"/>
      <c r="AK89" s="359"/>
      <c r="AL89" s="355"/>
      <c r="AM89" s="434"/>
      <c r="AN89" s="355"/>
      <c r="AO89" s="349"/>
      <c r="AP89" s="349"/>
      <c r="AQ89" s="349"/>
      <c r="AR89" s="349"/>
      <c r="AS89" s="60"/>
      <c r="AT89" s="60"/>
      <c r="AU89" s="60"/>
      <c r="AV89" s="60"/>
      <c r="AW89" s="60"/>
    </row>
    <row r="90" spans="1:49" ht="142.5" customHeight="1" x14ac:dyDescent="0.25">
      <c r="A90" s="331" t="s">
        <v>422</v>
      </c>
      <c r="B90" s="332" t="s">
        <v>423</v>
      </c>
      <c r="C90" s="430" t="s">
        <v>403</v>
      </c>
      <c r="D90" s="432" t="s">
        <v>424</v>
      </c>
      <c r="E90" s="432" t="s">
        <v>425</v>
      </c>
      <c r="F90" s="430" t="s">
        <v>426</v>
      </c>
      <c r="G90" s="432" t="s">
        <v>427</v>
      </c>
      <c r="H90" s="93" t="s">
        <v>428</v>
      </c>
      <c r="I90" s="345" t="s">
        <v>658</v>
      </c>
      <c r="J90" s="339" t="s">
        <v>206</v>
      </c>
      <c r="K90" s="347">
        <f>IF(J90="","",IF(J90="Muy Baja",0.2,IF(J90="Baja",0.4,IF(J90="Media",0.6,IF(J90="Alta",0.8,IF(J90="Muy Alta",1,))))))</f>
        <v>0.6</v>
      </c>
      <c r="L90" s="339" t="s">
        <v>145</v>
      </c>
      <c r="M90" s="347">
        <f>IF(L90="","",IF(L90="Leve",0.2,IF(L90="Menor",0.4,IF(L90="Moderado",0.6,IF(L90="Mayor",0.8,IF(L90="Catastrófico",1,))))))</f>
        <v>0.8</v>
      </c>
      <c r="N90" s="357" t="str">
        <f>IF(OR(AND(J90="Muy Baja",L90="Leve"),AND(J90="Muy Baja",L90="Menor"),AND(J90="Baja",L90="Leve")),"Bajo",IF(OR(AND(J90="Muy Baja",L90="Moderado"),AND(J90="Baja",L90="Menor"),AND(J90="Baja",L90="Moderado"),AND(J90="Media",L90="Leve"),AND(J90="Media",L90="Menor"),AND(J90="Media",L90="Moderado"),AND(J90="Alta",L90="Leve"),AND(J90="Alta",L90="Menor")),"Moderado",IF(OR(AND(J90="Muy Baja",L90="Mayor"),AND(J90="Baja",L90="Mayor"),AND(J90="Media",L90="Mayor"),AND(J90="Alta",L90="Moderado"),AND(J90="Alta",L90="Mayor"),AND(J90="Muy Alta",L90="Leve"),AND(J90="Muy Alta",L90="Menor"),AND(J90="Muy Alta",L90="Moderado"),AND(J90="Muy Alta",L90="Mayor")),"Alto",IF(OR(AND(J90="Muy Baja",L90="Catastrófico"),AND(J90="Baja",L90="Catastrófico"),AND(J90="Media",L90="Catastrófico"),AND(J90="Alta",L90="Catastrófico"),AND(J90="Muy Alta",L90="Catastrófico")),"Extremo",""))))</f>
        <v>Alto</v>
      </c>
      <c r="O90" s="25">
        <v>1</v>
      </c>
      <c r="P90" s="72" t="s">
        <v>429</v>
      </c>
      <c r="Q90" s="25" t="str">
        <f t="shared" si="10"/>
        <v>Probabilidad</v>
      </c>
      <c r="R90" s="73" t="s">
        <v>137</v>
      </c>
      <c r="S90" s="73" t="s">
        <v>129</v>
      </c>
      <c r="T90" s="26" t="str">
        <f t="shared" si="11"/>
        <v>40%</v>
      </c>
      <c r="U90" s="73" t="s">
        <v>130</v>
      </c>
      <c r="V90" s="73" t="s">
        <v>131</v>
      </c>
      <c r="W90" s="73" t="s">
        <v>132</v>
      </c>
      <c r="X90" s="78" t="s">
        <v>430</v>
      </c>
      <c r="Y90" s="59">
        <f>IFERROR(IF(Q90="Probabilidad",(K90-(+K90*T90)),IF(Q90="Impacto",K90,"")),"")</f>
        <v>0.36</v>
      </c>
      <c r="Z90" s="58" t="str">
        <f t="shared" si="12"/>
        <v>Baja</v>
      </c>
      <c r="AA90" s="26">
        <f t="shared" si="13"/>
        <v>0.36</v>
      </c>
      <c r="AB90" s="58" t="str">
        <f t="shared" si="14"/>
        <v>Mayor</v>
      </c>
      <c r="AC90" s="26">
        <f>IFERROR(IF(Q90="Impacto",(M90-(+M90*T90)),IF(Q90="Probabilidad",M90,"")),"")</f>
        <v>0.8</v>
      </c>
      <c r="AD90" s="339" t="str">
        <f>IFERROR(IF(AE90=0,"",IF(AND(AE90&gt;0,AE90&lt;=0.2),"Muy Baja",IF(AE90&lt;=0.4,"Baja",IF(AE90&lt;=0.6,"Media",IF(AE90&lt;=0.8,"Alta","Muy Alta"))))),"")</f>
        <v>Baja</v>
      </c>
      <c r="AE90" s="341">
        <f>MIN(Y90:Y91)</f>
        <v>0.216</v>
      </c>
      <c r="AF90" s="339" t="str">
        <f>IFERROR(IF(AG90=0,"",IF(AND(AG90&gt;0,AG90&lt;=0.2),"Leve",IF(AG90&lt;=0.4,"Menor",IF(AG90&lt;=0.6,"Moderado",IF(AG90&lt;=0.8,"Mayor","Catastrófico"))))),"")</f>
        <v>Mayor</v>
      </c>
      <c r="AG90" s="341">
        <f>MIN(AC90:AC91)</f>
        <v>0.8</v>
      </c>
      <c r="AH90" s="350" t="str">
        <f>IFERROR(IF(OR(AND(AD90="Muy Baja",AF90="Leve"),AND(AD90="Muy Baja",AF90="Menor"),AND(AD90="Baja",AF90="Leve")),"Bajo",IF(OR(AND(AD90="Muy Baja",AF90="Moderado"),AND(AD90="Baja",AF90="Menor"),AND(AD90="Baja",AF90="Moderado"),AND(AD90="Media",AF90="Leve"),AND(AD90="Media",AF90="Menor"),AND(AD90="Media",AF90="Moderado"),AND(AD90="Alta",AF90="Leve"),AND(AD90="Alta",AF90="Menor")),"Moderado",IF(OR(AND(AD90="Muy Baja",AF90="Mayor"),AND(AD90="Baja",AF90="Mayor"),AND(AD90="Media",AF90="Mayor"),AND(AD90="Alta",AF90="Moderado"),AND(AD90="Alta",AF90="Mayor"),AND(AD90="Muy Alta",AF90="Leve"),AND(AD90="Muy Alta",AF90="Menor"),AND(AD90="Muy Alta",AF90="Moderado"),AND(AD90="Muy Alta",AF90="Mayor")),"Alto",IF(OR(AND(AD90="Muy Baja",AF90="Catastrófico"),AND(AD90="Baja",AF90="Catastrófico"),AND(AD90="Media",AF90="Catastrófico"),AND(AD90="Alta",AF90="Catastrófico"),AND(AD90="Muy Alta",AF90="Catastrófico")),"Extremo","")))),"")</f>
        <v>Alto</v>
      </c>
      <c r="AI90" s="352" t="s">
        <v>134</v>
      </c>
      <c r="AJ90" s="76"/>
      <c r="AK90" s="379" t="s">
        <v>698</v>
      </c>
      <c r="AL90" s="355" t="s">
        <v>708</v>
      </c>
      <c r="AM90" s="385" t="s">
        <v>698</v>
      </c>
      <c r="AN90" s="355" t="s">
        <v>756</v>
      </c>
      <c r="AO90" s="373" t="s">
        <v>682</v>
      </c>
      <c r="AP90" s="349"/>
      <c r="AQ90" s="373" t="s">
        <v>682</v>
      </c>
      <c r="AR90" s="349"/>
      <c r="AS90" s="60"/>
      <c r="AT90" s="60"/>
      <c r="AU90" s="60"/>
      <c r="AV90" s="60"/>
      <c r="AW90" s="60"/>
    </row>
    <row r="91" spans="1:49" ht="193.65" customHeight="1" x14ac:dyDescent="0.25">
      <c r="A91" s="331"/>
      <c r="B91" s="332"/>
      <c r="C91" s="431"/>
      <c r="D91" s="433"/>
      <c r="E91" s="433"/>
      <c r="F91" s="431"/>
      <c r="G91" s="433"/>
      <c r="H91" s="94" t="s">
        <v>431</v>
      </c>
      <c r="I91" s="346"/>
      <c r="J91" s="340"/>
      <c r="K91" s="347"/>
      <c r="L91" s="340"/>
      <c r="M91" s="347"/>
      <c r="N91" s="357"/>
      <c r="O91" s="25">
        <v>2</v>
      </c>
      <c r="P91" s="72" t="s">
        <v>432</v>
      </c>
      <c r="Q91" s="25" t="str">
        <f t="shared" si="10"/>
        <v>Probabilidad</v>
      </c>
      <c r="R91" s="73" t="s">
        <v>137</v>
      </c>
      <c r="S91" s="73" t="s">
        <v>129</v>
      </c>
      <c r="T91" s="26" t="str">
        <f t="shared" si="11"/>
        <v>40%</v>
      </c>
      <c r="U91" s="73" t="s">
        <v>130</v>
      </c>
      <c r="V91" s="73" t="s">
        <v>131</v>
      </c>
      <c r="W91" s="73" t="s">
        <v>132</v>
      </c>
      <c r="X91" s="91" t="s">
        <v>433</v>
      </c>
      <c r="Y91" s="59">
        <f>IFERROR(IF(AND(Q90="Probabilidad",Q91="Probabilidad"),(AA90-(+AA90*T91)),IF(Q91="Probabilidad",(K90-(+K90*T91)),IF(Q91="Impacto",AA90,""))),"")</f>
        <v>0.216</v>
      </c>
      <c r="Z91" s="58" t="str">
        <f t="shared" si="12"/>
        <v>Baja</v>
      </c>
      <c r="AA91" s="26">
        <f t="shared" si="13"/>
        <v>0.216</v>
      </c>
      <c r="AB91" s="58" t="str">
        <f t="shared" si="14"/>
        <v>Mayor</v>
      </c>
      <c r="AC91" s="26">
        <f>IFERROR(IF(AND(Q90="Impacto",Q91="Impacto"),(AC90-(+AC90*T91)),IF(Q91="Impacto",(#REF!-(+#REF!*T91)),IF(Q91="Probabilidad",AC90,""))),"")</f>
        <v>0.8</v>
      </c>
      <c r="AD91" s="340"/>
      <c r="AE91" s="342"/>
      <c r="AF91" s="340"/>
      <c r="AG91" s="342"/>
      <c r="AH91" s="351"/>
      <c r="AI91" s="353"/>
      <c r="AJ91" s="76"/>
      <c r="AK91" s="381"/>
      <c r="AL91" s="355"/>
      <c r="AM91" s="387"/>
      <c r="AN91" s="355"/>
      <c r="AO91" s="375"/>
      <c r="AP91" s="349"/>
      <c r="AQ91" s="375"/>
      <c r="AR91" s="349"/>
      <c r="AS91" s="60"/>
      <c r="AT91" s="60"/>
      <c r="AU91" s="60"/>
      <c r="AV91" s="60"/>
      <c r="AW91" s="60"/>
    </row>
    <row r="92" spans="1:49" ht="196.95" customHeight="1" x14ac:dyDescent="0.25">
      <c r="A92" s="331" t="s">
        <v>434</v>
      </c>
      <c r="B92" s="432" t="s">
        <v>435</v>
      </c>
      <c r="C92" s="430" t="s">
        <v>403</v>
      </c>
      <c r="D92" s="432" t="s">
        <v>327</v>
      </c>
      <c r="E92" s="432" t="s">
        <v>436</v>
      </c>
      <c r="F92" s="430" t="s">
        <v>437</v>
      </c>
      <c r="G92" s="430" t="s">
        <v>438</v>
      </c>
      <c r="H92" s="112" t="s">
        <v>439</v>
      </c>
      <c r="I92" s="345" t="s">
        <v>658</v>
      </c>
      <c r="J92" s="339" t="s">
        <v>332</v>
      </c>
      <c r="K92" s="347">
        <f>IF(J92="","",IF(J92="Muy Baja",0.2,IF(J92="Baja",0.4,IF(J92="Media",0.6,IF(J92="Alta",0.8,IF(J92="Muy Alta",1,))))))</f>
        <v>0.4</v>
      </c>
      <c r="L92" s="339" t="s">
        <v>125</v>
      </c>
      <c r="M92" s="347">
        <f>IF(L92="","",IF(L92="Leve",0.2,IF(L92="Menor",0.4,IF(L92="Moderado",0.6,IF(L92="Mayor",0.8,IF(L92="Catastrófico",1,))))))</f>
        <v>0.6</v>
      </c>
      <c r="N92" s="357" t="str">
        <f>IF(OR(AND(J92="Muy Baja",L92="Leve"),AND(J92="Muy Baja",L92="Menor"),AND(J92="Baja",L92="Leve")),"Bajo",IF(OR(AND(J92="Muy Baja",L92="Moderado"),AND(J92="Baja",L92="Menor"),AND(J92="Baja",L92="Moderado"),AND(J92="Media",L92="Leve"),AND(J92="Media",L92="Menor"),AND(J92="Media",L92="Moderado"),AND(J92="Alta",L92="Leve"),AND(J92="Alta",L92="Menor")),"Moderado",IF(OR(AND(J92="Muy Baja",L92="Mayor"),AND(J92="Baja",L92="Mayor"),AND(J92="Media",L92="Mayor"),AND(J92="Alta",L92="Moderado"),AND(J92="Alta",L92="Mayor"),AND(J92="Muy Alta",L92="Leve"),AND(J92="Muy Alta",L92="Menor"),AND(J92="Muy Alta",L92="Moderado"),AND(J92="Muy Alta",L92="Mayor")),"Alto",IF(OR(AND(J92="Muy Baja",L92="Catastrófico"),AND(J92="Baja",L92="Catastrófico"),AND(J92="Media",L92="Catastrófico"),AND(J92="Alta",L92="Catastrófico"),AND(J92="Muy Alta",L92="Catastrófico")),"Extremo",""))))</f>
        <v>Moderado</v>
      </c>
      <c r="O92" s="25">
        <v>1</v>
      </c>
      <c r="P92" s="72" t="s">
        <v>440</v>
      </c>
      <c r="Q92" s="25" t="str">
        <f t="shared" si="10"/>
        <v>Probabilidad</v>
      </c>
      <c r="R92" s="73" t="s">
        <v>137</v>
      </c>
      <c r="S92" s="73" t="s">
        <v>129</v>
      </c>
      <c r="T92" s="26" t="str">
        <f t="shared" si="11"/>
        <v>40%</v>
      </c>
      <c r="U92" s="73"/>
      <c r="V92" s="73"/>
      <c r="W92" s="73"/>
      <c r="X92" s="72" t="s">
        <v>441</v>
      </c>
      <c r="Y92" s="59">
        <f>IFERROR(IF(Q92="Probabilidad",(K92-(+K92*T92)),IF(Q92="Impacto",K92,"")),"")</f>
        <v>0.24</v>
      </c>
      <c r="Z92" s="58" t="str">
        <f t="shared" si="12"/>
        <v>Baja</v>
      </c>
      <c r="AA92" s="26">
        <f t="shared" si="13"/>
        <v>0.24</v>
      </c>
      <c r="AB92" s="58" t="str">
        <f t="shared" si="14"/>
        <v>Moderado</v>
      </c>
      <c r="AC92" s="26">
        <f>IFERROR(IF(Q92="Impacto",(M92-(+M92*T92)),IF(Q92="Probabilidad",M92,"")),"")</f>
        <v>0.6</v>
      </c>
      <c r="AD92" s="339" t="str">
        <f>IFERROR(IF(AE92=0,"",IF(AND(AE92&gt;0,AE92&lt;=0.2),"Muy Baja",IF(AE92&lt;=0.4,"Baja",IF(AE92&lt;=0.6,"Media",IF(AE92&lt;=0.8,"Alta","Muy Alta"))))),"")</f>
        <v>Baja</v>
      </c>
      <c r="AE92" s="341">
        <f>MIN(Y92:Y93)</f>
        <v>0.24</v>
      </c>
      <c r="AF92" s="339" t="str">
        <f>IFERROR(IF(AG92=0,"",IF(AND(AG92&gt;0,AG92&lt;=0.2),"Leve",IF(AG92&lt;=0.4,"Menor",IF(AG92&lt;=0.6,"Moderado",IF(AG92&lt;=0.8,"Mayor","Catastrófico"))))),"")</f>
        <v>Moderado</v>
      </c>
      <c r="AG92" s="341">
        <f>MIN(AC92:AC93)</f>
        <v>0.44999999999999996</v>
      </c>
      <c r="AH92" s="350" t="str">
        <f>IFERROR(IF(OR(AND(AD92="Muy Baja",AF92="Leve"),AND(AD92="Muy Baja",AF92="Menor"),AND(AD92="Baja",AF92="Leve")),"Bajo",IF(OR(AND(AD92="Muy Baja",AF92="Moderado"),AND(AD92="Baja",AF92="Menor"),AND(AD92="Baja",AF92="Moderado"),AND(AD92="Media",AF92="Leve"),AND(AD92="Media",AF92="Menor"),AND(AD92="Media",AF92="Moderado"),AND(AD92="Alta",AF92="Leve"),AND(AD92="Alta",AF92="Menor")),"Moderado",IF(OR(AND(AD92="Muy Baja",AF92="Mayor"),AND(AD92="Baja",AF92="Mayor"),AND(AD92="Media",AF92="Mayor"),AND(AD92="Alta",AF92="Moderado"),AND(AD92="Alta",AF92="Mayor"),AND(AD92="Muy Alta",AF92="Leve"),AND(AD92="Muy Alta",AF92="Menor"),AND(AD92="Muy Alta",AF92="Moderado"),AND(AD92="Muy Alta",AF92="Mayor")),"Alto",IF(OR(AND(AD92="Muy Baja",AF92="Catastrófico"),AND(AD92="Baja",AF92="Catastrófico"),AND(AD92="Media",AF92="Catastrófico"),AND(AD92="Alta",AF92="Catastrófico"),AND(AD92="Muy Alta",AF92="Catastrófico")),"Extremo","")))),"")</f>
        <v>Moderado</v>
      </c>
      <c r="AI92" s="352" t="s">
        <v>134</v>
      </c>
      <c r="AJ92" s="76"/>
      <c r="AK92" s="359" t="s">
        <v>699</v>
      </c>
      <c r="AL92" s="355" t="s">
        <v>708</v>
      </c>
      <c r="AM92" s="434" t="s">
        <v>699</v>
      </c>
      <c r="AN92" s="355" t="s">
        <v>756</v>
      </c>
      <c r="AO92" s="349" t="s">
        <v>682</v>
      </c>
      <c r="AP92" s="349"/>
      <c r="AQ92" s="349" t="s">
        <v>682</v>
      </c>
      <c r="AR92" s="349"/>
    </row>
    <row r="93" spans="1:49" ht="143.25" customHeight="1" x14ac:dyDescent="0.25">
      <c r="A93" s="331"/>
      <c r="B93" s="433"/>
      <c r="C93" s="431"/>
      <c r="D93" s="433"/>
      <c r="E93" s="433"/>
      <c r="F93" s="431"/>
      <c r="G93" s="431"/>
      <c r="H93" s="113" t="s">
        <v>442</v>
      </c>
      <c r="I93" s="346"/>
      <c r="J93" s="340"/>
      <c r="K93" s="347"/>
      <c r="L93" s="340"/>
      <c r="M93" s="347"/>
      <c r="N93" s="357"/>
      <c r="O93" s="25">
        <v>2</v>
      </c>
      <c r="P93" s="72" t="s">
        <v>443</v>
      </c>
      <c r="Q93" s="25" t="str">
        <f t="shared" si="10"/>
        <v>Impacto</v>
      </c>
      <c r="R93" s="73" t="s">
        <v>152</v>
      </c>
      <c r="S93" s="73" t="s">
        <v>129</v>
      </c>
      <c r="T93" s="26" t="str">
        <f t="shared" si="11"/>
        <v>25%</v>
      </c>
      <c r="U93" s="73"/>
      <c r="V93" s="73"/>
      <c r="W93" s="73"/>
      <c r="X93" s="91" t="s">
        <v>444</v>
      </c>
      <c r="Y93" s="59">
        <f>IFERROR(IF(AND(Q92="Probabilidad",Q93="Probabilidad"),(AA92-(+AA92*T93)),IF(Q93="Probabilidad",(K92-(+K92*T93)),IF(Q93="Impacto",AA92,""))),"")</f>
        <v>0.24</v>
      </c>
      <c r="Z93" s="58" t="str">
        <f t="shared" si="12"/>
        <v>Baja</v>
      </c>
      <c r="AA93" s="26">
        <f t="shared" si="13"/>
        <v>0.24</v>
      </c>
      <c r="AB93" s="58" t="str">
        <f t="shared" si="14"/>
        <v>Moderado</v>
      </c>
      <c r="AC93" s="26">
        <f>IFERROR(IF(AND(Q92="Impacto",Q93="Impacto"),(AC92-(+AC92*T93)),IF(AND(Q92="Probabilidad",Q93="Impacto"),(AC92-(+AC92*T93)),IF(Q93="Probabilidad",AC92,""))),"")</f>
        <v>0.44999999999999996</v>
      </c>
      <c r="AD93" s="340"/>
      <c r="AE93" s="342"/>
      <c r="AF93" s="340"/>
      <c r="AG93" s="342"/>
      <c r="AH93" s="351"/>
      <c r="AI93" s="353"/>
      <c r="AJ93" s="76"/>
      <c r="AK93" s="359"/>
      <c r="AL93" s="355"/>
      <c r="AM93" s="434"/>
      <c r="AN93" s="355"/>
      <c r="AO93" s="349"/>
      <c r="AP93" s="349"/>
      <c r="AQ93" s="349"/>
      <c r="AR93" s="349"/>
    </row>
    <row r="94" spans="1:49" ht="83.4" customHeight="1" x14ac:dyDescent="0.25">
      <c r="A94" s="331" t="s">
        <v>306</v>
      </c>
      <c r="B94" s="332" t="s">
        <v>558</v>
      </c>
      <c r="C94" s="332" t="s">
        <v>624</v>
      </c>
      <c r="D94" s="332" t="s">
        <v>118</v>
      </c>
      <c r="E94" s="332" t="s">
        <v>560</v>
      </c>
      <c r="F94" s="332" t="s">
        <v>561</v>
      </c>
      <c r="G94" s="334" t="s">
        <v>562</v>
      </c>
      <c r="H94" s="81" t="s">
        <v>563</v>
      </c>
      <c r="I94" s="345" t="s">
        <v>659</v>
      </c>
      <c r="J94" s="339" t="s">
        <v>206</v>
      </c>
      <c r="K94" s="347">
        <f>IF(J94="","",IF(J94="Muy Baja",0.2,IF(J94="Baja",0.4,IF(J94="Media",0.6,IF(J94="Alta",0.8,IF(J94="Muy Alta",1,))))))</f>
        <v>0.6</v>
      </c>
      <c r="L94" s="339" t="s">
        <v>125</v>
      </c>
      <c r="M94" s="347">
        <f>IF(L94="","",IF(L94="Leve",0.2,IF(L94="Menor",0.4,IF(L94="Moderado",0.6,IF(L94="Mayor",0.8,IF(L94="Catastrófico",1,))))))</f>
        <v>0.6</v>
      </c>
      <c r="N94" s="357" t="str">
        <f>IF(OR(AND(J94="Muy Baja",L94="Leve"),AND(J94="Muy Baja",L94="Menor"),AND(J94="Baja",L94="Leve")),"Bajo",IF(OR(AND(J94="Muy baja",L94="Moderado"),AND(J94="Baja",L94="Menor"),AND(J94="Baja",L94="Moderado"),AND(J94="Media",L94="Leve"),AND(J94="Media",L94="Menor"),AND(J94="Media",L94="Moderado"),AND(J94="Alta",L94="Leve"),AND(J94="Alta",L94="Menor")),"Moderado",IF(OR(AND(J94="Muy Baja",L94="Mayor"),AND(J94="Baja",L94="Mayor"),AND(J94="Media",L94="Mayor"),AND(J94="Alta",L94="Moderado"),AND(J94="Alta",L94="Mayor"),AND(J94="Muy Alta",L94="Leve"),AND(J94="Muy Alta",L94="Menor"),AND(J94="Muy Alta",L94="Moderado"),AND(J94="Muy Alta",L94="Mayor")),"Alto",IF(OR(AND(J94="Muy Baja",L94="Catastrófico"),AND(J94="Baja",L94="Catastrófico"),AND(J94="Media",L94="Catastrófico"),AND(J94="Alta",L94="Catastrófico"),AND(J94="Muy Alta",L94="Catastrófico")),"Extremo",""))))</f>
        <v>Moderado</v>
      </c>
      <c r="O94" s="25">
        <v>1</v>
      </c>
      <c r="P94" s="77" t="s">
        <v>564</v>
      </c>
      <c r="Q94" s="25" t="str">
        <f t="shared" si="10"/>
        <v>Probabilidad</v>
      </c>
      <c r="R94" s="73" t="s">
        <v>137</v>
      </c>
      <c r="S94" s="73" t="s">
        <v>129</v>
      </c>
      <c r="T94" s="26" t="str">
        <f t="shared" si="11"/>
        <v>40%</v>
      </c>
      <c r="U94" s="73" t="s">
        <v>162</v>
      </c>
      <c r="V94" s="73" t="s">
        <v>131</v>
      </c>
      <c r="W94" s="73" t="s">
        <v>132</v>
      </c>
      <c r="X94" s="78" t="s">
        <v>565</v>
      </c>
      <c r="Y94" s="59">
        <f>IFERROR(IF(Q94="Probabilidad",(K94-(+K94*T94)),IF(Q94="Impacto",K94,"")),"")</f>
        <v>0.36</v>
      </c>
      <c r="Z94" s="58" t="str">
        <f t="shared" si="12"/>
        <v>Baja</v>
      </c>
      <c r="AA94" s="26">
        <f t="shared" si="13"/>
        <v>0.36</v>
      </c>
      <c r="AB94" s="58" t="str">
        <f t="shared" si="14"/>
        <v>Moderado</v>
      </c>
      <c r="AC94" s="26">
        <f>IFERROR(IF(Q94="Impacto",(M94-(+M94*T94)),IF(Q94="Probabilidad",M94,"")),"")</f>
        <v>0.6</v>
      </c>
      <c r="AD94" s="339" t="str">
        <f>IFERROR(IF(AE94=0,"",IF(AND(AE94&gt;0,AE94&lt;=0.2),"Muy Baja",IF(AE94&lt;=0.4,"Baja",IF(AE94&lt;=0.6,"Media",IF(AE94&lt;=0.8,"Alta","Muy Alta"))))),"")</f>
        <v>Muy Baja</v>
      </c>
      <c r="AE94" s="341">
        <f>MIN(Y94:Y96)</f>
        <v>0.12959999999999999</v>
      </c>
      <c r="AF94" s="339" t="str">
        <f>IFERROR(IF(AG94=0,"",IF(AND(AG94&gt;0,AG94&lt;=0.2),"Leve",IF(AG94&lt;=0.4,"Menor",IF(AG94&lt;=0.6,"Moderado",IF(AG94&lt;=0.8,"Mayor","Catastrófico"))))),"")</f>
        <v>Moderado</v>
      </c>
      <c r="AG94" s="341">
        <f>MIN(AC94:AC96)</f>
        <v>0.6</v>
      </c>
      <c r="AH94" s="350" t="str">
        <f>IFERROR(IF(OR(AND(AD94="Muy Baja",AF94="Leve"),AND(AD94="Muy Baja",AF94="Menor"),AND(AD94="Baja",AF94="Leve")),"Bajo",IF(OR(AND(AD94="Muy Baja",AF94="Moderado"),AND(AD94="Baja",AF94="Menor"),AND(AD94="Baja",AF94="Moderado"),AND(AD94="Media",AF94="Leve"),AND(AD94="Media",AF94="Menor"),AND(AD94="Media",AF94="Moderado"),AND(AD94="Alta",AF94="Leve"),AND(AD94="Alta",AF94="Menor")),"Moderado",IF(OR(AND(AD94="Muy Baja",AF94="Mayor"),AND(AD94="Baja",AF94="Mayor"),AND(AD94="Media",AF94="Mayor"),AND(AD94="Alta",AF94="Moderado"),AND(AD94="Alta",AF94="Mayor"),AND(AD94="Muy Alta",AF94="Leve"),AND(AD94="Muy Alta",AF94="Menor"),AND(AD94="Muy Alta",AF94="Moderado"),AND(AD94="Muy Alta",AF94="Mayor")),"Alto",IF(OR(AND(AD94="Muy Baja",AF94="Catastrófico"),AND(AD94="Baja",AF94="Catastrófico"),AND(AD94="Media",AF94="Catastrófico"),AND(AD94="Alta",AF94="Catastrófico"),AND(AD94="Muy Alta",AF94="Catastrófico")),"Extremo","")))),"")</f>
        <v>Moderado</v>
      </c>
      <c r="AI94" s="352" t="s">
        <v>134</v>
      </c>
      <c r="AJ94" s="334"/>
      <c r="AK94" s="436" t="s">
        <v>700</v>
      </c>
      <c r="AL94" s="438" t="s">
        <v>708</v>
      </c>
      <c r="AM94" s="439" t="s">
        <v>700</v>
      </c>
      <c r="AN94" s="440" t="s">
        <v>757</v>
      </c>
      <c r="AO94" s="437" t="s">
        <v>682</v>
      </c>
      <c r="AP94" s="437"/>
      <c r="AQ94" s="437" t="s">
        <v>682</v>
      </c>
      <c r="AR94" s="437"/>
    </row>
    <row r="95" spans="1:49" ht="60" customHeight="1" x14ac:dyDescent="0.25">
      <c r="A95" s="331"/>
      <c r="B95" s="332"/>
      <c r="C95" s="332"/>
      <c r="D95" s="332"/>
      <c r="E95" s="332"/>
      <c r="F95" s="332"/>
      <c r="G95" s="334"/>
      <c r="H95" s="81" t="s">
        <v>566</v>
      </c>
      <c r="I95" s="346"/>
      <c r="J95" s="340"/>
      <c r="K95" s="347"/>
      <c r="L95" s="340"/>
      <c r="M95" s="347"/>
      <c r="N95" s="357"/>
      <c r="O95" s="25">
        <v>2</v>
      </c>
      <c r="P95" s="77" t="s">
        <v>567</v>
      </c>
      <c r="Q95" s="25" t="str">
        <f t="shared" si="10"/>
        <v>Probabilidad</v>
      </c>
      <c r="R95" s="73" t="s">
        <v>137</v>
      </c>
      <c r="S95" s="73" t="s">
        <v>129</v>
      </c>
      <c r="T95" s="26" t="str">
        <f t="shared" si="11"/>
        <v>40%</v>
      </c>
      <c r="U95" s="73" t="s">
        <v>130</v>
      </c>
      <c r="V95" s="73" t="s">
        <v>131</v>
      </c>
      <c r="W95" s="73" t="s">
        <v>132</v>
      </c>
      <c r="X95" s="78" t="s">
        <v>568</v>
      </c>
      <c r="Y95" s="59">
        <f>IFERROR(IF(AND(Q94="Probabilidad",Q95="Probabilidad"),(AA94-(+AA94*T95)),IF(Q95="Probabilidad",(K94-(+K94*T95)),IF(Q95="Impacto",AA94,""))),"")</f>
        <v>0.216</v>
      </c>
      <c r="Z95" s="58" t="str">
        <f t="shared" si="12"/>
        <v>Baja</v>
      </c>
      <c r="AA95" s="26">
        <f t="shared" si="13"/>
        <v>0.216</v>
      </c>
      <c r="AB95" s="58" t="str">
        <f t="shared" si="14"/>
        <v>Moderado</v>
      </c>
      <c r="AC95" s="26">
        <f>IFERROR(IF(AND(Q94="Impacto",Q95="Impacto"),(AC94-(+AC94*T95)),IF(Q95="Impacto",(#REF!-(+#REF!*T95)),IF(Q95="Probabilidad",AC94,""))),"")</f>
        <v>0.6</v>
      </c>
      <c r="AD95" s="340"/>
      <c r="AE95" s="342"/>
      <c r="AF95" s="340"/>
      <c r="AG95" s="342"/>
      <c r="AH95" s="351"/>
      <c r="AI95" s="353"/>
      <c r="AJ95" s="334"/>
      <c r="AK95" s="436"/>
      <c r="AL95" s="438"/>
      <c r="AM95" s="439"/>
      <c r="AN95" s="440"/>
      <c r="AO95" s="437"/>
      <c r="AP95" s="437"/>
      <c r="AQ95" s="437"/>
      <c r="AR95" s="437"/>
    </row>
    <row r="96" spans="1:49" ht="187.2" customHeight="1" x14ac:dyDescent="0.25">
      <c r="A96" s="331"/>
      <c r="B96" s="332"/>
      <c r="C96" s="332"/>
      <c r="D96" s="332"/>
      <c r="E96" s="332"/>
      <c r="F96" s="332"/>
      <c r="G96" s="334"/>
      <c r="H96" s="81" t="s">
        <v>569</v>
      </c>
      <c r="I96" s="346"/>
      <c r="J96" s="340"/>
      <c r="K96" s="347"/>
      <c r="L96" s="340"/>
      <c r="M96" s="347"/>
      <c r="N96" s="357"/>
      <c r="O96" s="25">
        <v>3</v>
      </c>
      <c r="P96" s="77" t="s">
        <v>570</v>
      </c>
      <c r="Q96" s="25" t="str">
        <f t="shared" si="10"/>
        <v>Probabilidad</v>
      </c>
      <c r="R96" s="73" t="s">
        <v>137</v>
      </c>
      <c r="S96" s="73" t="s">
        <v>129</v>
      </c>
      <c r="T96" s="26" t="str">
        <f t="shared" si="11"/>
        <v>40%</v>
      </c>
      <c r="U96" s="73" t="s">
        <v>130</v>
      </c>
      <c r="V96" s="73" t="s">
        <v>131</v>
      </c>
      <c r="W96" s="73" t="s">
        <v>132</v>
      </c>
      <c r="X96" s="81" t="s">
        <v>571</v>
      </c>
      <c r="Y96" s="59">
        <f>IFERROR(IF(AND(Q95="Probabilidad",Q96="Probabilidad"),(AA95-(+AA95*T96)),IF(AND(Q95="Impacto",Q96="Probabilidad"),(AA94-(+AA94*T96)),IF(Q96="Impacto",AA95,""))),"")</f>
        <v>0.12959999999999999</v>
      </c>
      <c r="Z96" s="58" t="str">
        <f t="shared" si="12"/>
        <v>Muy Baja</v>
      </c>
      <c r="AA96" s="26">
        <f t="shared" si="13"/>
        <v>0.12959999999999999</v>
      </c>
      <c r="AB96" s="58" t="str">
        <f t="shared" si="14"/>
        <v>Moderado</v>
      </c>
      <c r="AC96" s="26">
        <f>IFERROR(IF(AND(Q95="Impacto",Q96="Impacto"),(AC95-(+AC95*T96)),IF(AND(Q95="Probabilidad",Q96="Impacto"),(AC94-(+AC94*T96)),IF(Q96="Probabilidad",AC95,""))),"")</f>
        <v>0.6</v>
      </c>
      <c r="AD96" s="340"/>
      <c r="AE96" s="342"/>
      <c r="AF96" s="340"/>
      <c r="AG96" s="342"/>
      <c r="AH96" s="351"/>
      <c r="AI96" s="353"/>
      <c r="AJ96" s="334"/>
      <c r="AK96" s="436"/>
      <c r="AL96" s="438"/>
      <c r="AM96" s="439"/>
      <c r="AN96" s="440"/>
      <c r="AO96" s="437"/>
      <c r="AP96" s="437"/>
      <c r="AQ96" s="437"/>
      <c r="AR96" s="437"/>
    </row>
    <row r="97" spans="1:44" ht="109.95" customHeight="1" x14ac:dyDescent="0.25">
      <c r="A97" s="331" t="s">
        <v>325</v>
      </c>
      <c r="B97" s="332" t="s">
        <v>572</v>
      </c>
      <c r="C97" s="332" t="s">
        <v>624</v>
      </c>
      <c r="D97" s="332" t="s">
        <v>229</v>
      </c>
      <c r="E97" s="332" t="s">
        <v>573</v>
      </c>
      <c r="F97" s="332" t="s">
        <v>574</v>
      </c>
      <c r="G97" s="334" t="s">
        <v>575</v>
      </c>
      <c r="H97" s="81" t="s">
        <v>576</v>
      </c>
      <c r="I97" s="345" t="s">
        <v>659</v>
      </c>
      <c r="J97" s="339" t="s">
        <v>124</v>
      </c>
      <c r="K97" s="347">
        <f>IF(J97="","",IF(J97="Muy Baja",0.2,IF(J97="Baja",0.4,IF(J97="Media",0.6,IF(J97="Alta",0.8,IF(J97="Muy Alta",1,))))))</f>
        <v>0.8</v>
      </c>
      <c r="L97" s="339" t="s">
        <v>145</v>
      </c>
      <c r="M97" s="347">
        <f>IF(L97="","",IF(L97="Leve",0.2,IF(L97="Menor",0.4,IF(L97="Moderado",0.6,IF(L97="Mayor",0.8,IF(L97="Catastrófico",1,))))))</f>
        <v>0.8</v>
      </c>
      <c r="N97" s="357" t="str">
        <f>IF(OR(AND(J97="Muy Baja",L97="Leve"),AND(J97="Muy Baja",L97="Menor"),AND(J97="Baja",L97="Leve")),"Bajo",IF(OR(AND(J97="Muy baja",L97="Moderado"),AND(J97="Baja",L97="Menor"),AND(J97="Baja",L97="Moderado"),AND(J97="Media",L97="Leve"),AND(J97="Media",L97="Menor"),AND(J97="Media",L97="Moderado"),AND(J97="Alta",L97="Leve"),AND(J97="Alta",L97="Menor")),"Moderado",IF(OR(AND(J97="Muy Baja",L97="Mayor"),AND(J97="Baja",L97="Mayor"),AND(J97="Media",L97="Mayor"),AND(J97="Alta",L97="Moderado"),AND(J97="Alta",L97="Mayor"),AND(J97="Muy Alta",L97="Leve"),AND(J97="Muy Alta",L97="Menor"),AND(J97="Muy Alta",L97="Moderado"),AND(J97="Muy Alta",L97="Mayor")),"Alto",IF(OR(AND(J97="Muy Baja",L97="Catastrófico"),AND(J97="Baja",L97="Catastrófico"),AND(J97="Media",L97="Catastrófico"),AND(J97="Alta",L97="Catastrófico"),AND(J97="Muy Alta",L97="Catastrófico")),"Extremo",""))))</f>
        <v>Alto</v>
      </c>
      <c r="O97" s="25">
        <v>1</v>
      </c>
      <c r="P97" s="115" t="s">
        <v>577</v>
      </c>
      <c r="Q97" s="25" t="str">
        <f t="shared" si="10"/>
        <v>Probabilidad</v>
      </c>
      <c r="R97" s="73" t="s">
        <v>137</v>
      </c>
      <c r="S97" s="73" t="s">
        <v>129</v>
      </c>
      <c r="T97" s="26" t="str">
        <f t="shared" si="11"/>
        <v>40%</v>
      </c>
      <c r="U97" s="73" t="s">
        <v>130</v>
      </c>
      <c r="V97" s="73" t="s">
        <v>131</v>
      </c>
      <c r="W97" s="73" t="s">
        <v>132</v>
      </c>
      <c r="X97" s="25" t="s">
        <v>578</v>
      </c>
      <c r="Y97" s="59">
        <f>IFERROR(IF(Q97="Probabilidad",(K97-(+K97*T97)),IF(Q97="Impacto",K97,"")),"")</f>
        <v>0.48</v>
      </c>
      <c r="Z97" s="58" t="str">
        <f t="shared" si="12"/>
        <v>Media</v>
      </c>
      <c r="AA97" s="26">
        <f t="shared" si="13"/>
        <v>0.48</v>
      </c>
      <c r="AB97" s="58" t="str">
        <f t="shared" si="14"/>
        <v>Mayor</v>
      </c>
      <c r="AC97" s="26">
        <f>IFERROR(IF(Q97="Impacto",(M97-(+M97*T97)),IF(Q97="Probabilidad",M97,"")),"")</f>
        <v>0.8</v>
      </c>
      <c r="AD97" s="339" t="str">
        <f>IFERROR(IF(AE97=0,"",IF(AND(AE97&gt;0,AE97&lt;=0.2),"Muy Baja",IF(AE97&lt;=0.4,"Baja",IF(AE97&lt;=0.6,"Media",IF(AE97&lt;=0.8,"Alta","Muy Alta"))))),"")</f>
        <v>Baja</v>
      </c>
      <c r="AE97" s="341">
        <f>MIN(Y97:Y99)</f>
        <v>0.2016</v>
      </c>
      <c r="AF97" s="339" t="str">
        <f>IFERROR(IF(AG97=0,"",IF(AND(AG97&gt;0,AG97&lt;=0.2),"Leve",IF(AG97&lt;=0.4,"Menor",IF(AG97&lt;=0.6,"Moderado",IF(AG97&lt;=0.8,"Mayor","Catastrófico"))))),"")</f>
        <v>Mayor</v>
      </c>
      <c r="AG97" s="341">
        <f>MIN(AC97:AC99)</f>
        <v>0.8</v>
      </c>
      <c r="AH97" s="350" t="str">
        <f>IFERROR(IF(OR(AND(AD97="Muy Baja",AF97="Leve"),AND(AD97="Muy Baja",AF97="Menor"),AND(AD97="Baja",AF97="Leve")),"Bajo",IF(OR(AND(AD97="Muy Baja",AF97="Moderado"),AND(AD97="Baja",AF97="Menor"),AND(AD97="Baja",AF97="Moderado"),AND(AD97="Media",AF97="Leve"),AND(AD97="Media",AF97="Menor"),AND(AD97="Media",AF97="Moderado"),AND(AD97="Alta",AF97="Leve"),AND(AD97="Alta",AF97="Menor")),"Moderado",IF(OR(AND(AD97="Muy Baja",AF97="Mayor"),AND(AD97="Baja",AF97="Mayor"),AND(AD97="Media",AF97="Mayor"),AND(AD97="Alta",AF97="Moderado"),AND(AD97="Alta",AF97="Mayor"),AND(AD97="Muy Alta",AF97="Leve"),AND(AD97="Muy Alta",AF97="Menor"),AND(AD97="Muy Alta",AF97="Moderado"),AND(AD97="Muy Alta",AF97="Mayor")),"Alto",IF(OR(AND(AD97="Muy Baja",AF97="Catastrófico"),AND(AD97="Baja",AF97="Catastrófico"),AND(AD97="Media",AF97="Catastrófico"),AND(AD97="Alta",AF97="Catastrófico"),AND(AD97="Muy Alta",AF97="Catastrófico")),"Extremo","")))),"")</f>
        <v>Alto</v>
      </c>
      <c r="AI97" s="352" t="s">
        <v>134</v>
      </c>
      <c r="AJ97" s="334"/>
      <c r="AK97" s="436" t="s">
        <v>701</v>
      </c>
      <c r="AL97" s="438" t="s">
        <v>708</v>
      </c>
      <c r="AM97" s="439" t="s">
        <v>701</v>
      </c>
      <c r="AN97" s="440" t="s">
        <v>757</v>
      </c>
      <c r="AO97" s="437" t="s">
        <v>682</v>
      </c>
      <c r="AP97" s="437"/>
      <c r="AQ97" s="437" t="s">
        <v>682</v>
      </c>
      <c r="AR97" s="437"/>
    </row>
    <row r="98" spans="1:44" ht="151.94999999999999" customHeight="1" x14ac:dyDescent="0.25">
      <c r="A98" s="331"/>
      <c r="B98" s="332"/>
      <c r="C98" s="332"/>
      <c r="D98" s="332"/>
      <c r="E98" s="332"/>
      <c r="F98" s="332"/>
      <c r="G98" s="334"/>
      <c r="H98" s="343" t="s">
        <v>579</v>
      </c>
      <c r="I98" s="346"/>
      <c r="J98" s="340"/>
      <c r="K98" s="347"/>
      <c r="L98" s="340"/>
      <c r="M98" s="347"/>
      <c r="N98" s="357"/>
      <c r="O98" s="25" t="s">
        <v>190</v>
      </c>
      <c r="P98" s="77" t="s">
        <v>580</v>
      </c>
      <c r="Q98" s="25" t="str">
        <f t="shared" si="10"/>
        <v>Probabilidad</v>
      </c>
      <c r="R98" s="73" t="s">
        <v>137</v>
      </c>
      <c r="S98" s="73" t="s">
        <v>129</v>
      </c>
      <c r="T98" s="26" t="str">
        <f t="shared" si="11"/>
        <v>40%</v>
      </c>
      <c r="U98" s="73" t="s">
        <v>162</v>
      </c>
      <c r="V98" s="73" t="s">
        <v>131</v>
      </c>
      <c r="W98" s="73" t="s">
        <v>132</v>
      </c>
      <c r="X98" s="78" t="s">
        <v>581</v>
      </c>
      <c r="Y98" s="59">
        <f>IFERROR(IF(AND(Q97="Probabilidad",Q98="Probabilidad"),(AA97-(+AA97*T98)),IF(Q98="Probabilidad",(K97-(+K97*T98)),IF(Q98="Impacto",AA97,""))),"")</f>
        <v>0.28799999999999998</v>
      </c>
      <c r="Z98" s="58" t="str">
        <f t="shared" si="12"/>
        <v>Baja</v>
      </c>
      <c r="AA98" s="26">
        <f t="shared" si="13"/>
        <v>0.28799999999999998</v>
      </c>
      <c r="AB98" s="58" t="str">
        <f t="shared" si="14"/>
        <v>Mayor</v>
      </c>
      <c r="AC98" s="26">
        <f>IFERROR(IF(AND(Q97="Impacto",Q98="Impacto"),(AC97-(+AC97*T98)),IF(Q98="Impacto",(#REF!-(+#REF!*T98)),IF(Q98="Probabilidad",AC97,""))),"")</f>
        <v>0.8</v>
      </c>
      <c r="AD98" s="340"/>
      <c r="AE98" s="342"/>
      <c r="AF98" s="340"/>
      <c r="AG98" s="342"/>
      <c r="AH98" s="351"/>
      <c r="AI98" s="353"/>
      <c r="AJ98" s="334"/>
      <c r="AK98" s="436"/>
      <c r="AL98" s="438"/>
      <c r="AM98" s="439"/>
      <c r="AN98" s="440"/>
      <c r="AO98" s="437"/>
      <c r="AP98" s="437"/>
      <c r="AQ98" s="437"/>
      <c r="AR98" s="437"/>
    </row>
    <row r="99" spans="1:44" ht="81" customHeight="1" x14ac:dyDescent="0.25">
      <c r="A99" s="331"/>
      <c r="B99" s="332"/>
      <c r="C99" s="332"/>
      <c r="D99" s="332"/>
      <c r="E99" s="332"/>
      <c r="F99" s="332"/>
      <c r="G99" s="334"/>
      <c r="H99" s="344"/>
      <c r="I99" s="346"/>
      <c r="J99" s="340"/>
      <c r="K99" s="347"/>
      <c r="L99" s="340"/>
      <c r="M99" s="347"/>
      <c r="N99" s="357"/>
      <c r="O99" s="25" t="s">
        <v>193</v>
      </c>
      <c r="P99" s="85" t="s">
        <v>582</v>
      </c>
      <c r="Q99" s="25" t="str">
        <f t="shared" si="10"/>
        <v>Probabilidad</v>
      </c>
      <c r="R99" s="73" t="s">
        <v>128</v>
      </c>
      <c r="S99" s="73" t="s">
        <v>129</v>
      </c>
      <c r="T99" s="26" t="str">
        <f t="shared" si="11"/>
        <v>30%</v>
      </c>
      <c r="U99" s="73" t="s">
        <v>162</v>
      </c>
      <c r="V99" s="73" t="s">
        <v>131</v>
      </c>
      <c r="W99" s="73" t="s">
        <v>132</v>
      </c>
      <c r="X99" s="25" t="s">
        <v>583</v>
      </c>
      <c r="Y99" s="59">
        <f>IFERROR(IF(AND(Q98="Probabilidad",Q99="Probabilidad"),(AA98-(+AA98*T99)),IF(AND(Q98="Impacto",Q99="Probabilidad"),(AA97-(+AA97*T99)),IF(Q99="Impacto",AA98,""))),"")</f>
        <v>0.2016</v>
      </c>
      <c r="Z99" s="58" t="str">
        <f t="shared" si="12"/>
        <v>Baja</v>
      </c>
      <c r="AA99" s="26">
        <f t="shared" si="13"/>
        <v>0.2016</v>
      </c>
      <c r="AB99" s="58" t="str">
        <f t="shared" si="14"/>
        <v>Mayor</v>
      </c>
      <c r="AC99" s="26">
        <f>IFERROR(IF(AND(Q98="Impacto",Q99="Impacto"),(AC98-(+AC98*T99)),IF(AND(Q98="Probabilidad",Q99="Impacto"),(AC97-(+AC97*T99)),IF(Q99="Probabilidad",AC98,""))),"")</f>
        <v>0.8</v>
      </c>
      <c r="AD99" s="340"/>
      <c r="AE99" s="342"/>
      <c r="AF99" s="340"/>
      <c r="AG99" s="342"/>
      <c r="AH99" s="351"/>
      <c r="AI99" s="353"/>
      <c r="AJ99" s="334"/>
      <c r="AK99" s="436"/>
      <c r="AL99" s="438"/>
      <c r="AM99" s="439"/>
      <c r="AN99" s="440"/>
      <c r="AO99" s="437"/>
      <c r="AP99" s="437"/>
      <c r="AQ99" s="437"/>
      <c r="AR99" s="437"/>
    </row>
    <row r="100" spans="1:44" ht="121.2" customHeight="1" x14ac:dyDescent="0.25">
      <c r="A100" s="331" t="s">
        <v>342</v>
      </c>
      <c r="B100" s="332" t="s">
        <v>584</v>
      </c>
      <c r="C100" s="332" t="s">
        <v>559</v>
      </c>
      <c r="D100" s="332" t="s">
        <v>585</v>
      </c>
      <c r="E100" s="332" t="s">
        <v>586</v>
      </c>
      <c r="F100" s="332" t="s">
        <v>587</v>
      </c>
      <c r="G100" s="334" t="s">
        <v>588</v>
      </c>
      <c r="H100" s="81" t="s">
        <v>589</v>
      </c>
      <c r="I100" s="345" t="s">
        <v>658</v>
      </c>
      <c r="J100" s="339" t="s">
        <v>124</v>
      </c>
      <c r="K100" s="347">
        <f>IF(J100="","",IF(J100="Muy Baja",0.2,IF(J100="Baja",0.4,IF(J100="Media",0.6,IF(J100="Alta",0.8,IF(J100="Muy Alta",1,))))))</f>
        <v>0.8</v>
      </c>
      <c r="L100" s="339" t="s">
        <v>125</v>
      </c>
      <c r="M100" s="347">
        <f>IF(L100="","",IF(L100="Leve",0.2,IF(L100="Menor",0.4,IF(L100="Moderado",0.6,IF(L100="Mayor",0.8,IF(L100="Catastrófico",1,))))))</f>
        <v>0.6</v>
      </c>
      <c r="N100" s="357" t="str">
        <f>IF(OR(AND(J100="Muy Baja",L100="Leve"),AND(J100="Muy Baja",L100="Menor"),AND(J100="Baja",L100="Leve")),"Bajo",IF(OR(AND(J100="Muy baja",L100="Moderado"),AND(J100="Baja",L100="Menor"),AND(J100="Baja",L100="Moderado"),AND(J100="Media",L100="Leve"),AND(J100="Media",L100="Menor"),AND(J100="Media",L100="Moderado"),AND(J100="Alta",L100="Leve"),AND(J100="Alta",L100="Menor")),"Moderado",IF(OR(AND(J100="Muy Baja",L100="Mayor"),AND(J100="Baja",L100="Mayor"),AND(J100="Media",L100="Mayor"),AND(J100="Alta",L100="Moderado"),AND(J100="Alta",L100="Mayor"),AND(J100="Muy Alta",L100="Leve"),AND(J100="Muy Alta",L100="Menor"),AND(J100="Muy Alta",L100="Moderado"),AND(J100="Muy Alta",L100="Mayor")),"Alto",IF(OR(AND(J100="Muy Baja",L100="Catastrófico"),AND(J100="Baja",L100="Catastrófico"),AND(J100="Media",L100="Catastrófico"),AND(J100="Alta",L100="Catastrófico"),AND(J100="Muy Alta",L100="Catastrófico")),"Extremo",""))))</f>
        <v>Alto</v>
      </c>
      <c r="O100" s="25">
        <v>1</v>
      </c>
      <c r="P100" s="77" t="s">
        <v>590</v>
      </c>
      <c r="Q100" s="25" t="str">
        <f t="shared" si="10"/>
        <v>Probabilidad</v>
      </c>
      <c r="R100" s="73" t="s">
        <v>137</v>
      </c>
      <c r="S100" s="73" t="s">
        <v>129</v>
      </c>
      <c r="T100" s="26" t="str">
        <f t="shared" si="11"/>
        <v>40%</v>
      </c>
      <c r="U100" s="73" t="s">
        <v>130</v>
      </c>
      <c r="V100" s="73" t="s">
        <v>131</v>
      </c>
      <c r="W100" s="73" t="s">
        <v>132</v>
      </c>
      <c r="X100" s="104" t="s">
        <v>591</v>
      </c>
      <c r="Y100" s="59">
        <f>IFERROR(IF(Q100="Probabilidad",(K100-(+K100*T100)),IF(Q100="Impacto",K100,"")),"")</f>
        <v>0.48</v>
      </c>
      <c r="Z100" s="58" t="str">
        <f t="shared" si="12"/>
        <v>Media</v>
      </c>
      <c r="AA100" s="26">
        <f t="shared" si="13"/>
        <v>0.48</v>
      </c>
      <c r="AB100" s="58" t="str">
        <f t="shared" si="14"/>
        <v>Moderado</v>
      </c>
      <c r="AC100" s="26">
        <f>IFERROR(IF(Q100="Impacto",(M100-(+M100*T100)),IF(Q100="Probabilidad",M100,"")),"")</f>
        <v>0.6</v>
      </c>
      <c r="AD100" s="339" t="str">
        <f>IFERROR(IF(AE100=0,"",IF(AND(AE100&gt;0,AE100&lt;=0.2),"Muy Baja",IF(AE100&lt;=0.4,"Baja",IF(AE100&lt;=0.6,"Media",IF(AE100&lt;=0.8,"Alta","Muy Alta"))))),"")</f>
        <v>Baja</v>
      </c>
      <c r="AE100" s="341">
        <f>MIN(Y100:Y102)</f>
        <v>0.28799999999999998</v>
      </c>
      <c r="AF100" s="339" t="str">
        <f>IFERROR(IF(AG100=0,"",IF(AND(AG100&gt;0,AG100&lt;=0.2),"Leve",IF(AG100&lt;=0.4,"Menor",IF(AG100&lt;=0.6,"Moderado",IF(AG100&lt;=0.8,"Mayor","Catastrófico"))))),"")</f>
        <v>Moderado</v>
      </c>
      <c r="AG100" s="341">
        <f>MIN(AC100:AC102)</f>
        <v>0.6</v>
      </c>
      <c r="AH100" s="350" t="str">
        <f>IFERROR(IF(OR(AND(AD100="Muy Baja",AF100="Leve"),AND(AD100="Muy Baja",AF100="Menor"),AND(AD100="Baja",AF100="Leve")),"Bajo",IF(OR(AND(AD100="Muy Baja",AF100="Moderado"),AND(AD100="Baja",AF100="Menor"),AND(AD100="Baja",AF100="Moderado"),AND(AD100="Media",AF100="Leve"),AND(AD100="Media",AF100="Menor"),AND(AD100="Media",AF100="Moderado"),AND(AD100="Alta",AF100="Leve"),AND(AD100="Alta",AF100="Menor")),"Moderado",IF(OR(AND(AD100="Muy Baja",AF100="Mayor"),AND(AD100="Baja",AF100="Mayor"),AND(AD100="Media",AF100="Mayor"),AND(AD100="Alta",AF100="Moderado"),AND(AD100="Alta",AF100="Mayor"),AND(AD100="Muy Alta",AF100="Leve"),AND(AD100="Muy Alta",AF100="Menor"),AND(AD100="Muy Alta",AF100="Moderado"),AND(AD100="Muy Alta",AF100="Mayor")),"Alto",IF(OR(AND(AD100="Muy Baja",AF100="Catastrófico"),AND(AD100="Baja",AF100="Catastrófico"),AND(AD100="Media",AF100="Catastrófico"),AND(AD100="Alta",AF100="Catastrófico"),AND(AD100="Muy Alta",AF100="Catastrófico")),"Extremo","")))),"")</f>
        <v>Moderado</v>
      </c>
      <c r="AI100" s="352"/>
      <c r="AJ100" s="334"/>
      <c r="AK100" s="436" t="s">
        <v>702</v>
      </c>
      <c r="AL100" s="438" t="s">
        <v>708</v>
      </c>
      <c r="AM100" s="439" t="s">
        <v>702</v>
      </c>
      <c r="AN100" s="440" t="s">
        <v>757</v>
      </c>
      <c r="AO100" s="437" t="s">
        <v>682</v>
      </c>
      <c r="AP100" s="437"/>
      <c r="AQ100" s="437" t="s">
        <v>682</v>
      </c>
      <c r="AR100" s="437"/>
    </row>
    <row r="101" spans="1:44" ht="120.6" customHeight="1" x14ac:dyDescent="0.25">
      <c r="A101" s="331"/>
      <c r="B101" s="332"/>
      <c r="C101" s="332"/>
      <c r="D101" s="332"/>
      <c r="E101" s="332"/>
      <c r="F101" s="332"/>
      <c r="G101" s="334"/>
      <c r="H101" s="81" t="s">
        <v>592</v>
      </c>
      <c r="I101" s="346"/>
      <c r="J101" s="340"/>
      <c r="K101" s="347"/>
      <c r="L101" s="340"/>
      <c r="M101" s="347"/>
      <c r="N101" s="357"/>
      <c r="O101" s="25">
        <v>2</v>
      </c>
      <c r="P101" s="77" t="s">
        <v>593</v>
      </c>
      <c r="Q101" s="25" t="str">
        <f t="shared" si="10"/>
        <v>Probabilidad</v>
      </c>
      <c r="R101" s="73" t="s">
        <v>137</v>
      </c>
      <c r="S101" s="73" t="s">
        <v>129</v>
      </c>
      <c r="T101" s="26" t="str">
        <f t="shared" si="11"/>
        <v>40%</v>
      </c>
      <c r="U101" s="73" t="s">
        <v>130</v>
      </c>
      <c r="V101" s="73" t="s">
        <v>131</v>
      </c>
      <c r="W101" s="73" t="s">
        <v>132</v>
      </c>
      <c r="X101" s="104" t="s">
        <v>594</v>
      </c>
      <c r="Y101" s="59">
        <f>IFERROR(IF(AND(Q100="Probabilidad",Q101="Probabilidad"),(AA100-(+AA100*T101)),IF(Q101="Probabilidad",(K100-(+K100*T101)),IF(Q101="Impacto",AA100,""))),"")</f>
        <v>0.28799999999999998</v>
      </c>
      <c r="Z101" s="58" t="str">
        <f t="shared" si="12"/>
        <v>Baja</v>
      </c>
      <c r="AA101" s="26">
        <f t="shared" si="13"/>
        <v>0.28799999999999998</v>
      </c>
      <c r="AB101" s="58" t="str">
        <f t="shared" si="14"/>
        <v>Moderado</v>
      </c>
      <c r="AC101" s="26">
        <f>IFERROR(IF(AND(Q100="Impacto",Q101="Impacto"),(AC100-(+AC100*T101)),IF(Q101="Impacto",(#REF!-(+#REF!*T101)),IF(Q101="Probabilidad",AC100,""))),"")</f>
        <v>0.6</v>
      </c>
      <c r="AD101" s="340"/>
      <c r="AE101" s="342"/>
      <c r="AF101" s="340"/>
      <c r="AG101" s="342"/>
      <c r="AH101" s="351"/>
      <c r="AI101" s="353"/>
      <c r="AJ101" s="334"/>
      <c r="AK101" s="436"/>
      <c r="AL101" s="438"/>
      <c r="AM101" s="439"/>
      <c r="AN101" s="440"/>
      <c r="AO101" s="437"/>
      <c r="AP101" s="437"/>
      <c r="AQ101" s="437"/>
      <c r="AR101" s="437"/>
    </row>
    <row r="102" spans="1:44" ht="82.2" customHeight="1" x14ac:dyDescent="0.25">
      <c r="A102" s="331"/>
      <c r="B102" s="332"/>
      <c r="C102" s="332"/>
      <c r="D102" s="332"/>
      <c r="E102" s="332"/>
      <c r="F102" s="332"/>
      <c r="G102" s="334"/>
      <c r="H102" s="81"/>
      <c r="I102" s="346"/>
      <c r="J102" s="340"/>
      <c r="K102" s="347"/>
      <c r="L102" s="340"/>
      <c r="M102" s="347"/>
      <c r="N102" s="357"/>
      <c r="O102" s="25"/>
      <c r="P102" s="85"/>
      <c r="Q102" s="25" t="str">
        <f t="shared" si="10"/>
        <v/>
      </c>
      <c r="R102" s="73"/>
      <c r="S102" s="73"/>
      <c r="T102" s="26" t="str">
        <f t="shared" si="11"/>
        <v/>
      </c>
      <c r="U102" s="73"/>
      <c r="V102" s="73"/>
      <c r="W102" s="73"/>
      <c r="X102" s="25"/>
      <c r="Y102" s="59" t="str">
        <f>IFERROR(IF(AND(Q101="Probabilidad",Q102="Probabilidad"),(AA101-(+AA101*T102)),IF(AND(Q101="Impacto",Q102="Probabilidad"),(AA100-(+AA100*T102)),IF(Q102="Impacto",AA101,""))),"")</f>
        <v/>
      </c>
      <c r="Z102" s="58" t="str">
        <f t="shared" si="12"/>
        <v/>
      </c>
      <c r="AA102" s="26" t="str">
        <f t="shared" si="13"/>
        <v/>
      </c>
      <c r="AB102" s="58" t="str">
        <f t="shared" si="14"/>
        <v/>
      </c>
      <c r="AC102" s="26" t="str">
        <f>IFERROR(IF(AND(Q101="Impacto",Q102="Impacto"),(AC101-(+AC101*T102)),IF(AND(Q101="Probabilidad",Q102="Impacto"),(AC100-(+AC100*T102)),IF(Q102="Probabilidad",AC101,""))),"")</f>
        <v/>
      </c>
      <c r="AD102" s="340"/>
      <c r="AE102" s="342"/>
      <c r="AF102" s="340"/>
      <c r="AG102" s="342"/>
      <c r="AH102" s="351"/>
      <c r="AI102" s="353"/>
      <c r="AJ102" s="334"/>
      <c r="AK102" s="436"/>
      <c r="AL102" s="438"/>
      <c r="AM102" s="439"/>
      <c r="AN102" s="440"/>
      <c r="AO102" s="437"/>
      <c r="AP102" s="437"/>
      <c r="AQ102" s="437"/>
      <c r="AR102" s="437"/>
    </row>
    <row r="103" spans="1:44" ht="196.8" customHeight="1" x14ac:dyDescent="0.25">
      <c r="A103" s="331" t="s">
        <v>356</v>
      </c>
      <c r="B103" s="334" t="s">
        <v>595</v>
      </c>
      <c r="C103" s="332" t="s">
        <v>559</v>
      </c>
      <c r="D103" s="332" t="s">
        <v>585</v>
      </c>
      <c r="E103" s="332" t="s">
        <v>596</v>
      </c>
      <c r="F103" s="332" t="s">
        <v>597</v>
      </c>
      <c r="G103" s="334" t="s">
        <v>598</v>
      </c>
      <c r="H103" s="84" t="s">
        <v>599</v>
      </c>
      <c r="I103" s="345" t="s">
        <v>658</v>
      </c>
      <c r="J103" s="339" t="s">
        <v>206</v>
      </c>
      <c r="K103" s="347">
        <f>IF(J103="","",IF(J103="Muy Baja",0.2,IF(J103="Baja",0.4,IF(J103="Media",0.6,IF(J103="Alta",0.8,IF(J103="Muy Alta",1,))))))</f>
        <v>0.6</v>
      </c>
      <c r="L103" s="339" t="s">
        <v>125</v>
      </c>
      <c r="M103" s="347">
        <f>IF(L103="","",IF(L103="Leve",0.2,IF(L103="Menor",0.4,IF(L103="Moderado",0.6,IF(L103="Mayor",0.8,IF(L103="Catastrófico",1,))))))</f>
        <v>0.6</v>
      </c>
      <c r="N103" s="357" t="str">
        <f>IF(OR(AND(J103="Muy Baja",L103="Leve"),AND(J103="Muy Baja",L103="Menor"),AND(J103="Baja",L103="Leve")),"Bajo",IF(OR(AND(J103="Muy baja",L103="Moderado"),AND(J103="Baja",L103="Menor"),AND(J103="Baja",L103="Moderado"),AND(J103="Media",L103="Leve"),AND(J103="Media",L103="Menor"),AND(J103="Media",L103="Moderado"),AND(J103="Alta",L103="Leve"),AND(J103="Alta",L103="Menor")),"Moderado",IF(OR(AND(J103="Muy Baja",L103="Mayor"),AND(J103="Baja",L103="Mayor"),AND(J103="Media",L103="Mayor"),AND(J103="Alta",L103="Moderado"),AND(J103="Alta",L103="Mayor"),AND(J103="Muy Alta",L103="Leve"),AND(J103="Muy Alta",L103="Menor"),AND(J103="Muy Alta",L103="Moderado"),AND(J103="Muy Alta",L103="Mayor")),"Alto",IF(OR(AND(J103="Muy Baja",L103="Catastrófico"),AND(J103="Baja",L103="Catastrófico"),AND(J103="Media",L103="Catastrófico"),AND(J103="Alta",L103="Catastrófico"),AND(J103="Muy Alta",L103="Catastrófico")),"Extremo",""))))</f>
        <v>Moderado</v>
      </c>
      <c r="O103" s="25">
        <v>1</v>
      </c>
      <c r="P103" s="77" t="s">
        <v>600</v>
      </c>
      <c r="Q103" s="25" t="str">
        <f t="shared" si="10"/>
        <v>Probabilidad</v>
      </c>
      <c r="R103" s="73" t="s">
        <v>128</v>
      </c>
      <c r="S103" s="73" t="s">
        <v>129</v>
      </c>
      <c r="T103" s="26" t="str">
        <f t="shared" si="11"/>
        <v>30%</v>
      </c>
      <c r="U103" s="73" t="s">
        <v>130</v>
      </c>
      <c r="V103" s="73" t="s">
        <v>131</v>
      </c>
      <c r="W103" s="73" t="s">
        <v>132</v>
      </c>
      <c r="X103" s="78" t="s">
        <v>601</v>
      </c>
      <c r="Y103" s="59">
        <f>IFERROR(IF(Q103="Probabilidad",(K103-(+K103*T103)),IF(Q103="Impacto",K103,"")),"")</f>
        <v>0.42</v>
      </c>
      <c r="Z103" s="58" t="str">
        <f t="shared" si="12"/>
        <v>Media</v>
      </c>
      <c r="AA103" s="26">
        <f t="shared" si="13"/>
        <v>0.42</v>
      </c>
      <c r="AB103" s="58" t="str">
        <f t="shared" si="14"/>
        <v>Moderado</v>
      </c>
      <c r="AC103" s="26">
        <f>IFERROR(IF(Q103="Impacto",(M103-(+M103*T103)),IF(Q103="Probabilidad",M103,"")),"")</f>
        <v>0.6</v>
      </c>
      <c r="AD103" s="339" t="str">
        <f>IFERROR(IF(AE103=0,"",IF(AND(AE103&gt;0,AE103&lt;=0.2),"Muy Baja",IF(AE103&lt;=0.4,"Baja",IF(AE103&lt;=0.6,"Media",IF(AE103&lt;=0.8,"Alta","Muy Alta"))))),"")</f>
        <v>Media</v>
      </c>
      <c r="AE103" s="341">
        <f>MIN(Y103:Y104)</f>
        <v>0.42</v>
      </c>
      <c r="AF103" s="339" t="str">
        <f>IFERROR(IF(AG103=0,"",IF(AND(AG103&gt;0,AG103&lt;=0.2),"Leve",IF(AG103&lt;=0.4,"Menor",IF(AG103&lt;=0.6,"Moderado",IF(AG103&lt;=0.8,"Mayor","Catastrófico"))))),"")</f>
        <v>Moderado</v>
      </c>
      <c r="AG103" s="341">
        <f>MIN(AC103:AC104)</f>
        <v>0.6</v>
      </c>
      <c r="AH103" s="350" t="str">
        <f>IFERROR(IF(OR(AND(AD103="Muy Baja",AF103="Leve"),AND(AD103="Muy Baja",AF103="Menor"),AND(AD103="Baja",AF103="Leve")),"Bajo",IF(OR(AND(AD103="Muy Baja",AF103="Moderado"),AND(AD103="Baja",AF103="Menor"),AND(AD103="Baja",AF103="Moderado"),AND(AD103="Media",AF103="Leve"),AND(AD103="Media",AF103="Menor"),AND(AD103="Media",AF103="Moderado"),AND(AD103="Alta",AF103="Leve"),AND(AD103="Alta",AF103="Menor")),"Moderado",IF(OR(AND(AD103="Muy Baja",AF103="Mayor"),AND(AD103="Baja",AF103="Mayor"),AND(AD103="Media",AF103="Mayor"),AND(AD103="Alta",AF103="Moderado"),AND(AD103="Alta",AF103="Mayor"),AND(AD103="Muy Alta",AF103="Leve"),AND(AD103="Muy Alta",AF103="Menor"),AND(AD103="Muy Alta",AF103="Moderado"),AND(AD103="Muy Alta",AF103="Mayor")),"Alto",IF(OR(AND(AD103="Muy Baja",AF103="Catastrófico"),AND(AD103="Baja",AF103="Catastrófico"),AND(AD103="Media",AF103="Catastrófico"),AND(AD103="Alta",AF103="Catastrófico"),AND(AD103="Muy Alta",AF103="Catastrófico")),"Extremo","")))),"")</f>
        <v>Moderado</v>
      </c>
      <c r="AI103" s="352" t="s">
        <v>134</v>
      </c>
      <c r="AJ103" s="334"/>
      <c r="AK103" s="436" t="s">
        <v>703</v>
      </c>
      <c r="AL103" s="438" t="s">
        <v>708</v>
      </c>
      <c r="AM103" s="439" t="s">
        <v>703</v>
      </c>
      <c r="AN103" s="440" t="s">
        <v>757</v>
      </c>
      <c r="AO103" s="437" t="s">
        <v>682</v>
      </c>
      <c r="AP103" s="437"/>
      <c r="AQ103" s="437" t="s">
        <v>682</v>
      </c>
      <c r="AR103" s="437"/>
    </row>
    <row r="104" spans="1:44" ht="175.8" customHeight="1" x14ac:dyDescent="0.25">
      <c r="A104" s="331"/>
      <c r="B104" s="334"/>
      <c r="C104" s="332"/>
      <c r="D104" s="332"/>
      <c r="E104" s="332"/>
      <c r="F104" s="332"/>
      <c r="G104" s="334"/>
      <c r="H104" s="84"/>
      <c r="I104" s="346"/>
      <c r="J104" s="340"/>
      <c r="K104" s="347"/>
      <c r="L104" s="340"/>
      <c r="M104" s="347"/>
      <c r="N104" s="357"/>
      <c r="O104" s="25">
        <v>2</v>
      </c>
      <c r="P104" s="77"/>
      <c r="Q104" s="25" t="str">
        <f t="shared" si="10"/>
        <v/>
      </c>
      <c r="R104" s="73"/>
      <c r="S104" s="73"/>
      <c r="T104" s="26" t="str">
        <f t="shared" si="11"/>
        <v/>
      </c>
      <c r="U104" s="73"/>
      <c r="V104" s="73"/>
      <c r="W104" s="73"/>
      <c r="X104" s="25"/>
      <c r="Y104" s="59" t="str">
        <f>IFERROR(IF(AND(Q103="Probabilidad",Q104="Probabilidad"),(AA103-(+AA103*T104)),IF(Q104="Probabilidad",(K103-(+K103*T104)),IF(Q104="Impacto",AA103,""))),"")</f>
        <v/>
      </c>
      <c r="Z104" s="58" t="str">
        <f t="shared" si="12"/>
        <v/>
      </c>
      <c r="AA104" s="26" t="str">
        <f t="shared" si="13"/>
        <v/>
      </c>
      <c r="AB104" s="58" t="str">
        <f t="shared" si="14"/>
        <v/>
      </c>
      <c r="AC104" s="26" t="str">
        <f>IFERROR(IF(AND(Q103="Impacto",Q104="Impacto"),(AC103-(+AC103*T104)),IF(Q104="Impacto",(#REF!-(+#REF!*T104)),IF(Q104="Probabilidad",AC103,""))),"")</f>
        <v/>
      </c>
      <c r="AD104" s="340"/>
      <c r="AE104" s="342"/>
      <c r="AF104" s="340"/>
      <c r="AG104" s="342"/>
      <c r="AH104" s="351"/>
      <c r="AI104" s="353"/>
      <c r="AJ104" s="334"/>
      <c r="AK104" s="436"/>
      <c r="AL104" s="438"/>
      <c r="AM104" s="439"/>
      <c r="AN104" s="440"/>
      <c r="AO104" s="437"/>
      <c r="AP104" s="437"/>
      <c r="AQ104" s="437"/>
      <c r="AR104" s="437"/>
    </row>
    <row r="105" spans="1:44" ht="145.94999999999999" customHeight="1" x14ac:dyDescent="0.25">
      <c r="A105" s="331" t="s">
        <v>181</v>
      </c>
      <c r="B105" s="332" t="s">
        <v>602</v>
      </c>
      <c r="C105" s="332" t="s">
        <v>559</v>
      </c>
      <c r="D105" s="332" t="s">
        <v>603</v>
      </c>
      <c r="E105" s="332" t="s">
        <v>596</v>
      </c>
      <c r="F105" s="332" t="s">
        <v>604</v>
      </c>
      <c r="G105" s="334" t="s">
        <v>605</v>
      </c>
      <c r="H105" s="84" t="s">
        <v>606</v>
      </c>
      <c r="I105" s="345" t="s">
        <v>658</v>
      </c>
      <c r="J105" s="339" t="s">
        <v>206</v>
      </c>
      <c r="K105" s="347">
        <f>IF(J105="","",IF(J105="Muy Baja",0.2,IF(J105="Baja",0.4,IF(J105="Media",0.6,IF(J105="Alta",0.8,IF(J105="Muy Alta",1,))))))</f>
        <v>0.6</v>
      </c>
      <c r="L105" s="339" t="s">
        <v>125</v>
      </c>
      <c r="M105" s="347">
        <f>IF(L105="","",IF(L105="Leve",0.2,IF(L105="Menor",0.4,IF(L105="Moderado",0.6,IF(L105="Mayor",0.8,IF(L105="Catastrófico",1,))))))</f>
        <v>0.6</v>
      </c>
      <c r="N105" s="357" t="str">
        <f>IF(OR(AND(J105="Muy Baja",L105="Leve"),AND(J105="Muy Baja",L105="Menor"),AND(J105="Baja",L105="Leve")),"Bajo",IF(OR(AND(J105="Muy baja",L105="Moderado"),AND(J105="Baja",L105="Menor"),AND(J105="Baja",L105="Moderado"),AND(J105="Media",L105="Leve"),AND(J105="Media",L105="Menor"),AND(J105="Media",L105="Moderado"),AND(J105="Alta",L105="Leve"),AND(J105="Alta",L105="Menor")),"Moderado",IF(OR(AND(J105="Muy Baja",L105="Mayor"),AND(J105="Baja",L105="Mayor"),AND(J105="Media",L105="Mayor"),AND(J105="Alta",L105="Moderado"),AND(J105="Alta",L105="Mayor"),AND(J105="Muy Alta",L105="Leve"),AND(J105="Muy Alta",L105="Menor"),AND(J105="Muy Alta",L105="Moderado"),AND(J105="Muy Alta",L105="Mayor")),"Alto",IF(OR(AND(J105="Muy Baja",L105="Catastrófico"),AND(J105="Baja",L105="Catastrófico"),AND(J105="Media",L105="Catastrófico"),AND(J105="Alta",L105="Catastrófico"),AND(J105="Muy Alta",L105="Catastrófico")),"Extremo",""))))</f>
        <v>Moderado</v>
      </c>
      <c r="O105" s="25">
        <v>1</v>
      </c>
      <c r="P105" s="77" t="s">
        <v>607</v>
      </c>
      <c r="Q105" s="25" t="str">
        <f t="shared" si="10"/>
        <v>Probabilidad</v>
      </c>
      <c r="R105" s="73" t="s">
        <v>128</v>
      </c>
      <c r="S105" s="73" t="s">
        <v>129</v>
      </c>
      <c r="T105" s="26" t="str">
        <f t="shared" si="11"/>
        <v>30%</v>
      </c>
      <c r="U105" s="73" t="s">
        <v>130</v>
      </c>
      <c r="V105" s="73" t="s">
        <v>131</v>
      </c>
      <c r="W105" s="73" t="s">
        <v>132</v>
      </c>
      <c r="X105" s="81" t="s">
        <v>608</v>
      </c>
      <c r="Y105" s="59">
        <f>IFERROR(IF(Q105="Probabilidad",(K105-(+K105*T105)),IF(Q105="Impacto",K105,"")),"")</f>
        <v>0.42</v>
      </c>
      <c r="Z105" s="58" t="str">
        <f t="shared" si="12"/>
        <v>Media</v>
      </c>
      <c r="AA105" s="26">
        <f t="shared" si="13"/>
        <v>0.42</v>
      </c>
      <c r="AB105" s="58" t="str">
        <f t="shared" si="14"/>
        <v>Moderado</v>
      </c>
      <c r="AC105" s="26">
        <f>IFERROR(IF(Q105="Impacto",(M105-(+M105*T105)),IF(Q105="Probabilidad",M105,"")),"")</f>
        <v>0.6</v>
      </c>
      <c r="AD105" s="339" t="str">
        <f>IFERROR(IF(AE105=0,"",IF(AND(AE105&gt;0,AE105&lt;=0.2),"Muy Baja",IF(AE105&lt;=0.4,"Baja",IF(AE105&lt;=0.6,"Media",IF(AE105&lt;=0.8,"Alta","Muy Alta"))))),"")</f>
        <v>Media</v>
      </c>
      <c r="AE105" s="341">
        <f>MIN(Y105:Y106)</f>
        <v>0.42</v>
      </c>
      <c r="AF105" s="339" t="str">
        <f>IFERROR(IF(AG105=0,"",IF(AND(AG105&gt;0,AG105&lt;=0.2),"Leve",IF(AG105&lt;=0.4,"Menor",IF(AG105&lt;=0.6,"Moderado",IF(AG105&lt;=0.8,"Mayor","Catastrófico"))))),"")</f>
        <v>Moderado</v>
      </c>
      <c r="AG105" s="341">
        <f>MIN(AC105:AC106)</f>
        <v>0.6</v>
      </c>
      <c r="AH105" s="350" t="str">
        <f>IFERROR(IF(OR(AND(AD105="Muy Baja",AF105="Leve"),AND(AD105="Muy Baja",AF105="Menor"),AND(AD105="Baja",AF105="Leve")),"Bajo",IF(OR(AND(AD105="Muy Baja",AF105="Moderado"),AND(AD105="Baja",AF105="Menor"),AND(AD105="Baja",AF105="Moderado"),AND(AD105="Media",AF105="Leve"),AND(AD105="Media",AF105="Menor"),AND(AD105="Media",AF105="Moderado"),AND(AD105="Alta",AF105="Leve"),AND(AD105="Alta",AF105="Menor")),"Moderado",IF(OR(AND(AD105="Muy Baja",AF105="Mayor"),AND(AD105="Baja",AF105="Mayor"),AND(AD105="Media",AF105="Mayor"),AND(AD105="Alta",AF105="Moderado"),AND(AD105="Alta",AF105="Mayor"),AND(AD105="Muy Alta",AF105="Leve"),AND(AD105="Muy Alta",AF105="Menor"),AND(AD105="Muy Alta",AF105="Moderado"),AND(AD105="Muy Alta",AF105="Mayor")),"Alto",IF(OR(AND(AD105="Muy Baja",AF105="Catastrófico"),AND(AD105="Baja",AF105="Catastrófico"),AND(AD105="Media",AF105="Catastrófico"),AND(AD105="Alta",AF105="Catastrófico"),AND(AD105="Muy Alta",AF105="Catastrófico")),"Extremo","")))),"")</f>
        <v>Moderado</v>
      </c>
      <c r="AI105" s="352"/>
      <c r="AJ105" s="334"/>
      <c r="AK105" s="436" t="s">
        <v>704</v>
      </c>
      <c r="AL105" s="438" t="s">
        <v>708</v>
      </c>
      <c r="AM105" s="439" t="s">
        <v>704</v>
      </c>
      <c r="AN105" s="440" t="s">
        <v>757</v>
      </c>
      <c r="AO105" s="437" t="s">
        <v>682</v>
      </c>
      <c r="AP105" s="437"/>
      <c r="AQ105" s="437" t="s">
        <v>682</v>
      </c>
      <c r="AR105" s="437"/>
    </row>
    <row r="106" spans="1:44" ht="185.4" customHeight="1" x14ac:dyDescent="0.25">
      <c r="A106" s="331"/>
      <c r="B106" s="332"/>
      <c r="C106" s="332"/>
      <c r="D106" s="332"/>
      <c r="E106" s="332"/>
      <c r="F106" s="332"/>
      <c r="G106" s="334"/>
      <c r="H106" s="84"/>
      <c r="I106" s="346"/>
      <c r="J106" s="340"/>
      <c r="K106" s="347"/>
      <c r="L106" s="340"/>
      <c r="M106" s="347"/>
      <c r="N106" s="357"/>
      <c r="O106" s="25"/>
      <c r="P106" s="114"/>
      <c r="Q106" s="25"/>
      <c r="R106" s="73"/>
      <c r="S106" s="73"/>
      <c r="T106" s="26"/>
      <c r="U106" s="73"/>
      <c r="V106" s="73"/>
      <c r="W106" s="73"/>
      <c r="X106" s="111"/>
      <c r="Y106" s="59"/>
      <c r="Z106" s="58"/>
      <c r="AA106" s="26"/>
      <c r="AB106" s="58"/>
      <c r="AC106" s="26"/>
      <c r="AD106" s="340"/>
      <c r="AE106" s="342"/>
      <c r="AF106" s="340"/>
      <c r="AG106" s="342"/>
      <c r="AH106" s="351"/>
      <c r="AI106" s="353"/>
      <c r="AJ106" s="334"/>
      <c r="AK106" s="436"/>
      <c r="AL106" s="438"/>
      <c r="AM106" s="439"/>
      <c r="AN106" s="440"/>
      <c r="AO106" s="437"/>
      <c r="AP106" s="437"/>
      <c r="AQ106" s="437"/>
      <c r="AR106" s="437"/>
    </row>
    <row r="107" spans="1:44" ht="113.4" customHeight="1" x14ac:dyDescent="0.25">
      <c r="A107" s="331" t="s">
        <v>199</v>
      </c>
      <c r="B107" s="332" t="s">
        <v>609</v>
      </c>
      <c r="C107" s="332" t="s">
        <v>559</v>
      </c>
      <c r="D107" s="332" t="s">
        <v>201</v>
      </c>
      <c r="E107" s="332" t="s">
        <v>610</v>
      </c>
      <c r="F107" s="334" t="s">
        <v>611</v>
      </c>
      <c r="G107" s="334" t="s">
        <v>612</v>
      </c>
      <c r="H107" s="81" t="s">
        <v>613</v>
      </c>
      <c r="I107" s="345" t="s">
        <v>658</v>
      </c>
      <c r="J107" s="339" t="s">
        <v>206</v>
      </c>
      <c r="K107" s="347">
        <f>IF(J107="","",IF(J107="Muy Baja",0.2,IF(J107="Baja",0.4,IF(J107="Media",0.6,IF(J107="Alta",0.8,IF(J107="Muy Alta",1,))))))</f>
        <v>0.6</v>
      </c>
      <c r="L107" s="339" t="s">
        <v>125</v>
      </c>
      <c r="M107" s="347">
        <f>IF(L107="","",IF(L107="Leve",0.2,IF(L107="Menor",0.4,IF(L107="Moderado",0.6,IF(L107="Mayor",0.8,IF(L107="Catastrófico",1,))))))</f>
        <v>0.6</v>
      </c>
      <c r="N107" s="357" t="str">
        <f>IF(OR(AND(J107="Muy Baja",L107="Leve"),AND(J107="Muy Baja",L107="Menor"),AND(J107="Baja",L107="Leve")),"Bajo",IF(OR(AND(J107="Muy baja",L107="Moderado"),AND(J107="Baja",L107="Menor"),AND(J107="Baja",L107="Moderado"),AND(J107="Media",L107="Leve"),AND(J107="Media",L107="Menor"),AND(J107="Media",L107="Moderado"),AND(J107="Alta",L107="Leve"),AND(J107="Alta",L107="Menor")),"Moderado",IF(OR(AND(J107="Muy Baja",L107="Mayor"),AND(J107="Baja",L107="Mayor"),AND(J107="Media",L107="Mayor"),AND(J107="Alta",L107="Moderado"),AND(J107="Alta",L107="Mayor"),AND(J107="Muy Alta",L107="Leve"),AND(J107="Muy Alta",L107="Menor"),AND(J107="Muy Alta",L107="Moderado"),AND(J107="Muy Alta",L107="Mayor")),"Alto",IF(OR(AND(J107="Muy Baja",L107="Catastrófico"),AND(J107="Baja",L107="Catastrófico"),AND(J107="Media",L107="Catastrófico"),AND(J107="Alta",L107="Catastrófico"),AND(J107="Muy Alta",L107="Catastrófico")),"Extremo",""))))</f>
        <v>Moderado</v>
      </c>
      <c r="O107" s="25">
        <v>1</v>
      </c>
      <c r="P107" s="86" t="s">
        <v>614</v>
      </c>
      <c r="Q107" s="25" t="str">
        <f>IF(OR(R107="Preventivo",R107="Detectivo"),"Probabilidad",IF(R107="Correctivo","Impacto",""))</f>
        <v>Probabilidad</v>
      </c>
      <c r="R107" s="73" t="s">
        <v>137</v>
      </c>
      <c r="S107" s="73" t="s">
        <v>129</v>
      </c>
      <c r="T107" s="26" t="str">
        <f>IF(AND(R107="Preventivo",S107="Automático"),"50%",IF(AND(R107="Preventivo",S107="Manual"),"40%",IF(AND(R107="Detectivo",S107="Automático"),"40%",IF(AND(R107="Detectivo",S107="Manual"),"30%",IF(AND(R107="Correctivo",S107="Automático"),"35%",IF(AND(R107="Correctivo",S107="Manual"),"25%",""))))))</f>
        <v>40%</v>
      </c>
      <c r="U107" s="73" t="s">
        <v>130</v>
      </c>
      <c r="V107" s="73" t="s">
        <v>131</v>
      </c>
      <c r="W107" s="73" t="s">
        <v>132</v>
      </c>
      <c r="X107" s="81" t="s">
        <v>615</v>
      </c>
      <c r="Y107" s="59">
        <f>IFERROR(IF(Q107="Probabilidad",(K107-(+K107*T107)),IF(Q107="Impacto",K107,"")),"")</f>
        <v>0.36</v>
      </c>
      <c r="Z107" s="58" t="str">
        <f>IFERROR(IF(Y107="","",IF(Y107&lt;=0.2,"Muy Baja",IF(Y107&lt;=0.4,"Baja",IF(Y107&lt;=0.6,"Media",IF(Y107&lt;=0.8,"Alta","Muy Alta"))))),"")</f>
        <v>Baja</v>
      </c>
      <c r="AA107" s="26">
        <f>+Y107</f>
        <v>0.36</v>
      </c>
      <c r="AB107" s="58" t="str">
        <f>IFERROR(IF(AC107="","",IF(AC107&lt;=0.2,"Leve",IF(AC107&lt;=0.4,"Menor",IF(AC107&lt;=0.6,"Moderado",IF(AC107&lt;=0.8,"Mayor","Catastrófico"))))),"")</f>
        <v>Moderado</v>
      </c>
      <c r="AC107" s="26">
        <f>IFERROR(IF(Q107="Impacto",(M107-(+M107*T107)),IF(Q107="Probabilidad",M107,"")),"")</f>
        <v>0.6</v>
      </c>
      <c r="AD107" s="339" t="str">
        <f>IFERROR(IF(AE107=0,"",IF(AND(AE107&gt;0,AE107&lt;=0.2),"Muy Baja",IF(AE107&lt;=0.4,"Baja",IF(AE107&lt;=0.6,"Media",IF(AE107&lt;=0.8,"Alta","Muy Alta"))))),"")</f>
        <v>Baja</v>
      </c>
      <c r="AE107" s="341">
        <f>MIN(Y107:Y109)</f>
        <v>0.36</v>
      </c>
      <c r="AF107" s="339" t="str">
        <f>IFERROR(IF(AG107=0,"",IF(AND(AG107&gt;0,AG107&lt;=0.2),"Leve",IF(AG107&lt;=0.4,"Menor",IF(AG107&lt;=0.6,"Moderado",IF(AG107&lt;=0.8,"Mayor","Catastrófico"))))),"")</f>
        <v>Moderado</v>
      </c>
      <c r="AG107" s="341">
        <f>MIN(AC107:AC109)</f>
        <v>0.44999999999999996</v>
      </c>
      <c r="AH107" s="350" t="str">
        <f>IFERROR(IF(OR(AND(AD107="Muy Baja",AF107="Leve"),AND(AD107="Muy Baja",AF107="Menor"),AND(AD107="Baja",AF107="Leve")),"Bajo",IF(OR(AND(AD107="Muy Baja",AF107="Moderado"),AND(AD107="Baja",AF107="Menor"),AND(AD107="Baja",AF107="Moderado"),AND(AD107="Media",AF107="Leve"),AND(AD107="Media",AF107="Menor"),AND(AD107="Media",AF107="Moderado"),AND(AD107="Alta",AF107="Leve"),AND(AD107="Alta",AF107="Menor")),"Moderado",IF(OR(AND(AD107="Muy Baja",AF107="Mayor"),AND(AD107="Baja",AF107="Mayor"),AND(AD107="Media",AF107="Mayor"),AND(AD107="Alta",AF107="Moderado"),AND(AD107="Alta",AF107="Mayor"),AND(AD107="Muy Alta",AF107="Leve"),AND(AD107="Muy Alta",AF107="Menor"),AND(AD107="Muy Alta",AF107="Moderado"),AND(AD107="Muy Alta",AF107="Mayor")),"Alto",IF(OR(AND(AD107="Muy Baja",AF107="Catastrófico"),AND(AD107="Baja",AF107="Catastrófico"),AND(AD107="Media",AF107="Catastrófico"),AND(AD107="Alta",AF107="Catastrófico"),AND(AD107="Muy Alta",AF107="Catastrófico")),"Extremo","")))),"")</f>
        <v>Moderado</v>
      </c>
      <c r="AI107" s="352"/>
      <c r="AJ107" s="334"/>
      <c r="AK107" s="436" t="s">
        <v>705</v>
      </c>
      <c r="AL107" s="438" t="s">
        <v>708</v>
      </c>
      <c r="AM107" s="439" t="s">
        <v>705</v>
      </c>
      <c r="AN107" s="440" t="s">
        <v>757</v>
      </c>
      <c r="AO107" s="437" t="s">
        <v>682</v>
      </c>
      <c r="AP107" s="437"/>
      <c r="AQ107" s="437" t="s">
        <v>682</v>
      </c>
      <c r="AR107" s="437"/>
    </row>
    <row r="108" spans="1:44" ht="106.95" customHeight="1" x14ac:dyDescent="0.25">
      <c r="A108" s="331"/>
      <c r="B108" s="332"/>
      <c r="C108" s="332"/>
      <c r="D108" s="332"/>
      <c r="E108" s="332"/>
      <c r="F108" s="334"/>
      <c r="G108" s="334"/>
      <c r="H108" s="25" t="s">
        <v>226</v>
      </c>
      <c r="I108" s="346"/>
      <c r="J108" s="340"/>
      <c r="K108" s="347"/>
      <c r="L108" s="340"/>
      <c r="M108" s="347"/>
      <c r="N108" s="357"/>
      <c r="O108" s="25">
        <v>2</v>
      </c>
      <c r="P108" s="77" t="s">
        <v>616</v>
      </c>
      <c r="Q108" s="25" t="str">
        <f>IF(OR(R108="Preventivo",R108="Detectivo"),"Probabilidad",IF(R108="Correctivo","Impacto",""))</f>
        <v>Impacto</v>
      </c>
      <c r="R108" s="73" t="s">
        <v>152</v>
      </c>
      <c r="S108" s="73" t="s">
        <v>129</v>
      </c>
      <c r="T108" s="26" t="str">
        <f>IF(AND(R108="Preventivo",S108="Automático"),"50%",IF(AND(R108="Preventivo",S108="Manual"),"40%",IF(AND(R108="Detectivo",S108="Automático"),"40%",IF(AND(R108="Detectivo",S108="Manual"),"30%",IF(AND(R108="Correctivo",S108="Automático"),"35%",IF(AND(R108="Correctivo",S108="Manual"),"25%",""))))))</f>
        <v>25%</v>
      </c>
      <c r="U108" s="73" t="s">
        <v>130</v>
      </c>
      <c r="V108" s="73" t="s">
        <v>131</v>
      </c>
      <c r="W108" s="73" t="s">
        <v>132</v>
      </c>
      <c r="X108" s="78" t="s">
        <v>617</v>
      </c>
      <c r="Y108" s="59">
        <f>IFERROR(IF(AND(Q107="Probabilidad",Q108="Probabilidad"),(AA107-(+AA107*T108)),IF(Q108="Probabilidad",(K107-(+K107*T108)),IF(Q108="Impacto",AA107,""))),"")</f>
        <v>0.36</v>
      </c>
      <c r="Z108" s="58" t="str">
        <f>IFERROR(IF(Y108="","",IF(Y108&lt;=0.2,"Muy Baja",IF(Y108&lt;=0.4,"Baja",IF(Y108&lt;=0.6,"Media",IF(Y108&lt;=0.8,"Alta","Muy Alta"))))),"")</f>
        <v>Baja</v>
      </c>
      <c r="AA108" s="26">
        <f>+Y108</f>
        <v>0.36</v>
      </c>
      <c r="AB108" s="58" t="str">
        <f>IFERROR(IF(AC108="","",IF(AC108&lt;=0.2,"Leve",IF(AC108&lt;=0.4,"Menor",IF(AC108&lt;=0.6,"Moderado",IF(AC108&lt;=0.8,"Mayor","Catastrófico"))))),"")</f>
        <v>Moderado</v>
      </c>
      <c r="AC108" s="26">
        <f>IFERROR(IF(AND(Q107="Impacto",Q108="Impacto"),(AC107-(+AC107*T108)),IF(Q108="Impacto",(M107-(+M107*T108)),IF(Q108="Probabilidad",AC107,""))),"")</f>
        <v>0.44999999999999996</v>
      </c>
      <c r="AD108" s="340"/>
      <c r="AE108" s="342"/>
      <c r="AF108" s="340"/>
      <c r="AG108" s="342"/>
      <c r="AH108" s="351"/>
      <c r="AI108" s="353"/>
      <c r="AJ108" s="334"/>
      <c r="AK108" s="436"/>
      <c r="AL108" s="438"/>
      <c r="AM108" s="439"/>
      <c r="AN108" s="440"/>
      <c r="AO108" s="437"/>
      <c r="AP108" s="437"/>
      <c r="AQ108" s="437"/>
      <c r="AR108" s="437"/>
    </row>
    <row r="109" spans="1:44" ht="125.4" customHeight="1" x14ac:dyDescent="0.25">
      <c r="A109" s="331"/>
      <c r="B109" s="332"/>
      <c r="C109" s="332"/>
      <c r="D109" s="332"/>
      <c r="E109" s="332"/>
      <c r="F109" s="334"/>
      <c r="G109" s="334"/>
      <c r="H109" s="25"/>
      <c r="I109" s="346"/>
      <c r="J109" s="340"/>
      <c r="K109" s="347"/>
      <c r="L109" s="340"/>
      <c r="M109" s="347"/>
      <c r="N109" s="357"/>
      <c r="O109" s="25"/>
      <c r="P109" s="85"/>
      <c r="Q109" s="25" t="str">
        <f>IF(OR(R109="Preventivo",R109="Detectivo"),"Probabilidad",IF(R109="Correctivo","Impacto",""))</f>
        <v/>
      </c>
      <c r="R109" s="73"/>
      <c r="S109" s="73"/>
      <c r="T109" s="26" t="str">
        <f>IF(AND(R109="Preventivo",S109="Automático"),"50%",IF(AND(R109="Preventivo",S109="Manual"),"40%",IF(AND(R109="Detectivo",S109="Automático"),"40%",IF(AND(R109="Detectivo",S109="Manual"),"30%",IF(AND(R109="Correctivo",S109="Automático"),"35%",IF(AND(R109="Correctivo",S109="Manual"),"25%",""))))))</f>
        <v/>
      </c>
      <c r="U109" s="73"/>
      <c r="V109" s="73"/>
      <c r="W109" s="73"/>
      <c r="X109" s="25"/>
      <c r="Y109" s="59" t="str">
        <f>IFERROR(IF(AND(Q108="Probabilidad",Q109="Probabilidad"),(AA108-(+AA108*T109)),IF(AND(Q108="Impacto",Q109="Probabilidad"),(AA107-(+AA107*T109)),IF(Q109="Impacto",AA108,""))),"")</f>
        <v/>
      </c>
      <c r="Z109" s="58" t="str">
        <f>IFERROR(IF(Y109="","",IF(Y109&lt;=0.2,"Muy Baja",IF(Y109&lt;=0.4,"Baja",IF(Y109&lt;=0.6,"Media",IF(Y109&lt;=0.8,"Alta","Muy Alta"))))),"")</f>
        <v/>
      </c>
      <c r="AA109" s="26" t="str">
        <f>+Y109</f>
        <v/>
      </c>
      <c r="AB109" s="58" t="str">
        <f>IFERROR(IF(AC109="","",IF(AC109&lt;=0.2,"Leve",IF(AC109&lt;=0.4,"Menor",IF(AC109&lt;=0.6,"Moderado",IF(AC109&lt;=0.8,"Mayor","Catastrófico"))))),"")</f>
        <v/>
      </c>
      <c r="AC109" s="26" t="str">
        <f>IFERROR(IF(AND(Q108="Impacto",Q109="Impacto"),(AC108-(+AC108*T109)),IF(AND(Q108="Probabilidad",Q109="Impacto"),(AC107-(+AC107*T109)),IF(Q109="Probabilidad",AC108,""))),"")</f>
        <v/>
      </c>
      <c r="AD109" s="340"/>
      <c r="AE109" s="342"/>
      <c r="AF109" s="340"/>
      <c r="AG109" s="342"/>
      <c r="AH109" s="351"/>
      <c r="AI109" s="353"/>
      <c r="AJ109" s="334"/>
      <c r="AK109" s="436"/>
      <c r="AL109" s="438"/>
      <c r="AM109" s="439"/>
      <c r="AN109" s="440"/>
      <c r="AO109" s="437"/>
      <c r="AP109" s="437"/>
      <c r="AQ109" s="437"/>
      <c r="AR109" s="437"/>
    </row>
    <row r="110" spans="1:44" ht="27" customHeight="1" x14ac:dyDescent="0.25">
      <c r="A110" s="441" t="s">
        <v>445</v>
      </c>
      <c r="B110" s="442"/>
      <c r="C110" s="442"/>
      <c r="D110" s="442"/>
      <c r="E110" s="442"/>
      <c r="F110" s="442"/>
      <c r="G110" s="442"/>
      <c r="H110" s="442"/>
      <c r="I110" s="442"/>
      <c r="J110" s="442"/>
      <c r="K110" s="442"/>
      <c r="L110" s="442"/>
      <c r="M110" s="442"/>
      <c r="N110" s="442"/>
      <c r="O110" s="442"/>
      <c r="P110" s="442"/>
      <c r="Q110" s="442"/>
      <c r="R110" s="442"/>
      <c r="S110" s="442"/>
      <c r="T110" s="442"/>
      <c r="U110" s="442"/>
      <c r="V110" s="442"/>
      <c r="W110" s="442"/>
      <c r="X110" s="442"/>
      <c r="Y110" s="442"/>
      <c r="Z110" s="442"/>
      <c r="AA110" s="442"/>
      <c r="AB110" s="442"/>
      <c r="AC110" s="442"/>
      <c r="AD110" s="442"/>
      <c r="AE110" s="442"/>
      <c r="AF110" s="442"/>
      <c r="AG110" s="442"/>
      <c r="AH110" s="442"/>
      <c r="AI110" s="443"/>
    </row>
    <row r="111" spans="1:44" ht="37.950000000000003" customHeight="1" x14ac:dyDescent="0.25">
      <c r="A111" s="87" t="s">
        <v>446</v>
      </c>
      <c r="B111" s="61"/>
      <c r="C111" s="61"/>
      <c r="E111" s="61"/>
      <c r="F111" s="61"/>
      <c r="I111" s="61"/>
    </row>
    <row r="112" spans="1:44" ht="37.200000000000003" customHeight="1" thickBot="1" x14ac:dyDescent="0.3"/>
    <row r="113" spans="1:8" ht="31.95" customHeight="1" x14ac:dyDescent="0.25">
      <c r="A113" s="444" t="s">
        <v>447</v>
      </c>
      <c r="B113" s="445"/>
      <c r="C113" s="445"/>
      <c r="D113" s="445"/>
      <c r="E113" s="445"/>
      <c r="F113" s="445"/>
      <c r="G113" s="445"/>
      <c r="H113" s="446"/>
    </row>
    <row r="114" spans="1:8" ht="20.399999999999999" customHeight="1" x14ac:dyDescent="0.25">
      <c r="C114" s="65" t="s">
        <v>448</v>
      </c>
      <c r="D114" s="65"/>
      <c r="F114" s="61"/>
    </row>
    <row r="115" spans="1:8" ht="22.95" customHeight="1" x14ac:dyDescent="0.25">
      <c r="G115" s="88"/>
    </row>
    <row r="116" spans="1:8" ht="26.4" customHeight="1" x14ac:dyDescent="0.25">
      <c r="C116" s="95" t="s">
        <v>449</v>
      </c>
      <c r="D116" s="96" t="s">
        <v>450</v>
      </c>
      <c r="E116" s="447" t="s">
        <v>451</v>
      </c>
      <c r="F116" s="447"/>
      <c r="G116" s="447"/>
      <c r="H116" s="447"/>
    </row>
    <row r="117" spans="1:8" ht="26.4" customHeight="1" x14ac:dyDescent="0.25">
      <c r="C117" s="78" t="s">
        <v>227</v>
      </c>
      <c r="D117" s="97">
        <v>44657</v>
      </c>
      <c r="E117" s="448" t="s">
        <v>452</v>
      </c>
      <c r="F117" s="448"/>
      <c r="G117" s="448"/>
      <c r="H117" s="448"/>
    </row>
    <row r="118" spans="1:8" ht="26.4" customHeight="1" x14ac:dyDescent="0.25">
      <c r="C118" s="78" t="s">
        <v>453</v>
      </c>
      <c r="D118" s="97">
        <v>44809</v>
      </c>
      <c r="E118" s="448" t="s">
        <v>454</v>
      </c>
      <c r="F118" s="448"/>
      <c r="G118" s="448"/>
      <c r="H118" s="448"/>
    </row>
    <row r="119" spans="1:8" ht="26.4" customHeight="1" x14ac:dyDescent="0.25">
      <c r="C119" s="78" t="s">
        <v>138</v>
      </c>
      <c r="D119" s="97">
        <v>44809</v>
      </c>
      <c r="E119" s="448" t="s">
        <v>455</v>
      </c>
      <c r="F119" s="448"/>
      <c r="G119" s="448"/>
      <c r="H119" s="448"/>
    </row>
    <row r="120" spans="1:8" ht="26.4" customHeight="1" x14ac:dyDescent="0.25">
      <c r="C120" s="78" t="s">
        <v>154</v>
      </c>
      <c r="D120" s="97">
        <v>44809</v>
      </c>
      <c r="E120" s="448" t="s">
        <v>456</v>
      </c>
      <c r="F120" s="448"/>
      <c r="G120" s="448"/>
      <c r="H120" s="448"/>
    </row>
    <row r="121" spans="1:8" ht="26.4" customHeight="1" x14ac:dyDescent="0.25">
      <c r="C121" s="25" t="s">
        <v>279</v>
      </c>
      <c r="D121" s="97">
        <v>44809</v>
      </c>
      <c r="E121" s="448" t="s">
        <v>457</v>
      </c>
      <c r="F121" s="448"/>
      <c r="G121" s="448"/>
      <c r="H121" s="448"/>
    </row>
    <row r="122" spans="1:8" ht="26.4" customHeight="1" x14ac:dyDescent="0.25">
      <c r="C122" s="25" t="s">
        <v>458</v>
      </c>
      <c r="D122" s="97">
        <v>44809</v>
      </c>
      <c r="E122" s="448" t="s">
        <v>459</v>
      </c>
      <c r="F122" s="448"/>
      <c r="G122" s="448"/>
      <c r="H122" s="448"/>
    </row>
    <row r="123" spans="1:8" ht="26.4" customHeight="1" x14ac:dyDescent="0.25">
      <c r="C123" s="78" t="s">
        <v>460</v>
      </c>
      <c r="D123" s="97">
        <v>44817</v>
      </c>
      <c r="E123" s="448" t="s">
        <v>461</v>
      </c>
      <c r="F123" s="448"/>
      <c r="G123" s="448"/>
      <c r="H123" s="448"/>
    </row>
    <row r="124" spans="1:8" ht="26.4" customHeight="1" x14ac:dyDescent="0.25">
      <c r="C124" s="25" t="s">
        <v>227</v>
      </c>
      <c r="D124" s="97">
        <v>44846</v>
      </c>
      <c r="E124" s="448" t="s">
        <v>462</v>
      </c>
      <c r="F124" s="448"/>
      <c r="G124" s="448"/>
      <c r="H124" s="448"/>
    </row>
    <row r="125" spans="1:8" ht="26.4" customHeight="1" x14ac:dyDescent="0.25">
      <c r="C125" s="25" t="s">
        <v>378</v>
      </c>
      <c r="D125" s="97">
        <v>44846</v>
      </c>
      <c r="E125" s="448" t="s">
        <v>463</v>
      </c>
      <c r="F125" s="448"/>
      <c r="G125" s="448"/>
      <c r="H125" s="448"/>
    </row>
    <row r="126" spans="1:8" ht="48" customHeight="1" x14ac:dyDescent="0.25">
      <c r="C126" s="25" t="s">
        <v>227</v>
      </c>
      <c r="D126" s="97">
        <v>44893</v>
      </c>
      <c r="E126" s="448" t="s">
        <v>464</v>
      </c>
      <c r="F126" s="448"/>
      <c r="G126" s="448"/>
      <c r="H126" s="448"/>
    </row>
    <row r="127" spans="1:8" ht="20.399999999999999" customHeight="1" x14ac:dyDescent="0.25">
      <c r="C127" s="25" t="s">
        <v>154</v>
      </c>
      <c r="D127" s="97">
        <v>45191</v>
      </c>
      <c r="E127" s="448" t="s">
        <v>465</v>
      </c>
      <c r="F127" s="448"/>
      <c r="G127" s="448"/>
      <c r="H127" s="448"/>
    </row>
    <row r="128" spans="1:8" ht="20.399999999999999" customHeight="1" x14ac:dyDescent="0.25">
      <c r="C128" s="25" t="s">
        <v>422</v>
      </c>
      <c r="D128" s="97">
        <v>45191</v>
      </c>
      <c r="E128" s="448" t="s">
        <v>466</v>
      </c>
      <c r="F128" s="448"/>
      <c r="G128" s="448"/>
      <c r="H128" s="448"/>
    </row>
    <row r="129" spans="3:8" ht="20.399999999999999" customHeight="1" x14ac:dyDescent="0.25">
      <c r="C129" s="25" t="s">
        <v>467</v>
      </c>
      <c r="D129" s="97">
        <v>45554</v>
      </c>
      <c r="E129" s="449" t="s">
        <v>468</v>
      </c>
      <c r="F129" s="449"/>
      <c r="G129" s="449"/>
      <c r="H129" s="449"/>
    </row>
    <row r="130" spans="3:8" ht="20.399999999999999" customHeight="1" x14ac:dyDescent="0.25">
      <c r="C130" s="25" t="s">
        <v>434</v>
      </c>
      <c r="D130" s="97">
        <v>45554</v>
      </c>
      <c r="E130" s="449" t="s">
        <v>469</v>
      </c>
      <c r="F130" s="449"/>
      <c r="G130" s="449"/>
      <c r="H130" s="449"/>
    </row>
    <row r="131" spans="3:8" ht="20.399999999999999" customHeight="1" x14ac:dyDescent="0.25">
      <c r="C131" s="25" t="s">
        <v>458</v>
      </c>
      <c r="D131" s="97">
        <v>45554</v>
      </c>
      <c r="E131" s="449" t="s">
        <v>470</v>
      </c>
      <c r="F131" s="449"/>
      <c r="G131" s="449"/>
      <c r="H131" s="449"/>
    </row>
    <row r="132" spans="3:8" ht="20.399999999999999" customHeight="1" x14ac:dyDescent="0.25">
      <c r="C132" s="25" t="s">
        <v>306</v>
      </c>
      <c r="D132" s="97">
        <v>45601</v>
      </c>
      <c r="E132" s="449" t="s">
        <v>471</v>
      </c>
      <c r="F132" s="449"/>
      <c r="G132" s="449"/>
      <c r="H132" s="449"/>
    </row>
    <row r="133" spans="3:8" ht="20.399999999999999" customHeight="1" x14ac:dyDescent="0.25">
      <c r="C133" s="25" t="s">
        <v>325</v>
      </c>
      <c r="D133" s="97">
        <v>45601</v>
      </c>
      <c r="E133" s="449" t="s">
        <v>471</v>
      </c>
      <c r="F133" s="449"/>
      <c r="G133" s="449"/>
      <c r="H133" s="449"/>
    </row>
    <row r="134" spans="3:8" ht="20.399999999999999" customHeight="1" x14ac:dyDescent="0.25">
      <c r="C134" s="25" t="s">
        <v>342</v>
      </c>
      <c r="D134" s="97">
        <v>45601</v>
      </c>
      <c r="E134" s="449" t="s">
        <v>471</v>
      </c>
      <c r="F134" s="449"/>
      <c r="G134" s="449"/>
      <c r="H134" s="449"/>
    </row>
    <row r="135" spans="3:8" ht="20.399999999999999" customHeight="1" x14ac:dyDescent="0.25">
      <c r="C135" s="25" t="s">
        <v>356</v>
      </c>
      <c r="D135" s="97">
        <v>45601</v>
      </c>
      <c r="E135" s="449" t="s">
        <v>471</v>
      </c>
      <c r="F135" s="449"/>
      <c r="G135" s="449"/>
      <c r="H135" s="449"/>
    </row>
    <row r="136" spans="3:8" ht="36" customHeight="1" x14ac:dyDescent="0.25">
      <c r="C136" s="25" t="s">
        <v>453</v>
      </c>
      <c r="D136" s="97">
        <v>45744</v>
      </c>
      <c r="E136" s="449" t="s">
        <v>472</v>
      </c>
      <c r="F136" s="449"/>
      <c r="G136" s="449"/>
      <c r="H136" s="449"/>
    </row>
    <row r="137" spans="3:8" ht="34.950000000000003" customHeight="1" x14ac:dyDescent="0.25">
      <c r="C137" s="25" t="s">
        <v>460</v>
      </c>
      <c r="D137" s="97">
        <v>45744</v>
      </c>
      <c r="E137" s="449" t="s">
        <v>473</v>
      </c>
      <c r="F137" s="449"/>
      <c r="G137" s="449"/>
      <c r="H137" s="449"/>
    </row>
    <row r="138" spans="3:8" ht="34.950000000000003" customHeight="1" x14ac:dyDescent="0.25">
      <c r="C138" s="25" t="s">
        <v>181</v>
      </c>
      <c r="D138" s="97">
        <v>45744</v>
      </c>
      <c r="E138" s="449" t="s">
        <v>474</v>
      </c>
      <c r="F138" s="449"/>
      <c r="G138" s="449"/>
      <c r="H138" s="449"/>
    </row>
    <row r="139" spans="3:8" ht="34.950000000000003" customHeight="1" x14ac:dyDescent="0.25">
      <c r="C139" s="25" t="s">
        <v>199</v>
      </c>
      <c r="D139" s="97">
        <v>45744</v>
      </c>
      <c r="E139" s="449" t="s">
        <v>475</v>
      </c>
      <c r="F139" s="449"/>
      <c r="G139" s="449"/>
      <c r="H139" s="449"/>
    </row>
    <row r="140" spans="3:8" ht="34.950000000000003" customHeight="1" x14ac:dyDescent="0.25">
      <c r="C140" s="25" t="s">
        <v>214</v>
      </c>
      <c r="D140" s="97">
        <v>45744</v>
      </c>
      <c r="E140" s="449" t="s">
        <v>476</v>
      </c>
      <c r="F140" s="449"/>
      <c r="G140" s="449"/>
      <c r="H140" s="449"/>
    </row>
    <row r="141" spans="3:8" ht="34.950000000000003" customHeight="1" x14ac:dyDescent="0.25">
      <c r="C141" s="25" t="s">
        <v>259</v>
      </c>
      <c r="D141" s="97">
        <v>45805</v>
      </c>
      <c r="E141" s="449" t="s">
        <v>477</v>
      </c>
      <c r="F141" s="449"/>
      <c r="G141" s="449"/>
      <c r="H141" s="449"/>
    </row>
    <row r="142" spans="3:8" ht="57" customHeight="1" x14ac:dyDescent="0.25">
      <c r="C142" s="25" t="s">
        <v>227</v>
      </c>
      <c r="D142" s="97">
        <v>45805</v>
      </c>
      <c r="E142" s="449" t="s">
        <v>478</v>
      </c>
      <c r="F142" s="449"/>
      <c r="G142" s="449"/>
      <c r="H142" s="449"/>
    </row>
    <row r="143" spans="3:8" ht="37.950000000000003" customHeight="1" x14ac:dyDescent="0.25">
      <c r="C143" s="78" t="s">
        <v>306</v>
      </c>
      <c r="D143" s="97">
        <v>45911</v>
      </c>
      <c r="E143" s="448" t="s">
        <v>618</v>
      </c>
      <c r="F143" s="448"/>
      <c r="G143" s="448"/>
      <c r="H143" s="448"/>
    </row>
    <row r="144" spans="3:8" ht="52.2" customHeight="1" x14ac:dyDescent="0.25">
      <c r="C144" s="78" t="s">
        <v>325</v>
      </c>
      <c r="D144" s="97">
        <v>45911</v>
      </c>
      <c r="E144" s="448" t="s">
        <v>619</v>
      </c>
      <c r="F144" s="448"/>
      <c r="G144" s="448"/>
      <c r="H144" s="448"/>
    </row>
    <row r="145" spans="3:8" ht="49.2" customHeight="1" x14ac:dyDescent="0.25">
      <c r="C145" s="78" t="s">
        <v>342</v>
      </c>
      <c r="D145" s="97">
        <v>45911</v>
      </c>
      <c r="E145" s="448" t="s">
        <v>620</v>
      </c>
      <c r="F145" s="448"/>
      <c r="G145" s="448"/>
      <c r="H145" s="448"/>
    </row>
    <row r="146" spans="3:8" ht="37.950000000000003" customHeight="1" x14ac:dyDescent="0.25">
      <c r="C146" s="78" t="s">
        <v>356</v>
      </c>
      <c r="D146" s="97">
        <v>45911</v>
      </c>
      <c r="E146" s="448" t="s">
        <v>621</v>
      </c>
      <c r="F146" s="448"/>
      <c r="G146" s="448"/>
      <c r="H146" s="448"/>
    </row>
    <row r="147" spans="3:8" ht="37.950000000000003" customHeight="1" x14ac:dyDescent="0.25">
      <c r="C147" s="78" t="s">
        <v>181</v>
      </c>
      <c r="D147" s="97">
        <v>45911</v>
      </c>
      <c r="E147" s="448" t="s">
        <v>622</v>
      </c>
      <c r="F147" s="448"/>
      <c r="G147" s="448"/>
      <c r="H147" s="448"/>
    </row>
    <row r="148" spans="3:8" ht="37.950000000000003" customHeight="1" x14ac:dyDescent="0.25">
      <c r="C148" s="78" t="s">
        <v>199</v>
      </c>
      <c r="D148" s="97">
        <v>45911</v>
      </c>
      <c r="E148" s="448" t="s">
        <v>623</v>
      </c>
      <c r="F148" s="448"/>
      <c r="G148" s="448"/>
      <c r="H148" s="448"/>
    </row>
    <row r="149" spans="3:8" ht="71.400000000000006" customHeight="1" x14ac:dyDescent="0.25">
      <c r="C149" s="78" t="s">
        <v>214</v>
      </c>
      <c r="D149" s="97">
        <v>45989</v>
      </c>
      <c r="E149" s="448" t="s">
        <v>654</v>
      </c>
      <c r="F149" s="448"/>
      <c r="G149" s="448"/>
      <c r="H149" s="448"/>
    </row>
    <row r="150" spans="3:8" ht="67.95" customHeight="1" x14ac:dyDescent="0.25">
      <c r="C150" s="78" t="s">
        <v>738</v>
      </c>
      <c r="D150" s="97">
        <v>45989</v>
      </c>
      <c r="E150" s="448" t="s">
        <v>655</v>
      </c>
      <c r="F150" s="448"/>
      <c r="G150" s="448"/>
      <c r="H150" s="448"/>
    </row>
    <row r="151" spans="3:8" x14ac:dyDescent="0.25">
      <c r="C151" s="78"/>
      <c r="D151" s="97"/>
      <c r="E151" s="448"/>
      <c r="F151" s="448"/>
      <c r="G151" s="448"/>
      <c r="H151" s="448"/>
    </row>
    <row r="152" spans="3:8" x14ac:dyDescent="0.25">
      <c r="C152" s="78"/>
      <c r="D152" s="97"/>
      <c r="E152" s="448"/>
      <c r="F152" s="448"/>
      <c r="G152" s="448"/>
      <c r="H152" s="448"/>
    </row>
    <row r="153" spans="3:8" x14ac:dyDescent="0.25">
      <c r="C153" s="78"/>
      <c r="D153" s="97"/>
      <c r="E153" s="448"/>
      <c r="F153" s="448"/>
      <c r="G153" s="448"/>
      <c r="H153" s="448"/>
    </row>
    <row r="154" spans="3:8" x14ac:dyDescent="0.25">
      <c r="C154" s="78"/>
      <c r="D154" s="97"/>
      <c r="E154" s="448"/>
      <c r="F154" s="448"/>
      <c r="G154" s="448"/>
      <c r="H154" s="448"/>
    </row>
    <row r="155" spans="3:8" x14ac:dyDescent="0.25">
      <c r="C155" s="78"/>
      <c r="D155" s="97"/>
      <c r="E155" s="448"/>
      <c r="F155" s="448"/>
      <c r="G155" s="448"/>
      <c r="H155" s="448"/>
    </row>
  </sheetData>
  <sheetProtection algorithmName="SHA-512" hashValue="BPz4nqdDFmrIrzF3Ia4VKt7vQ1wR4bydHFuhrvLoGyT/QCW1h2RJbic9yUTgZu+c8ksxga6XIulU3ZWa5iU/Aw==" saltValue="Q0HoFDEoi92zke0XCThmHw==" spinCount="100000" sheet="1" formatCells="0" formatColumns="0" formatRows="0"/>
  <dataConsolidate link="1"/>
  <mergeCells count="803">
    <mergeCell ref="E154:H154"/>
    <mergeCell ref="E155:H155"/>
    <mergeCell ref="E148:H148"/>
    <mergeCell ref="E149:H149"/>
    <mergeCell ref="E150:H150"/>
    <mergeCell ref="E151:H151"/>
    <mergeCell ref="E152:H152"/>
    <mergeCell ref="E153:H153"/>
    <mergeCell ref="E142:H142"/>
    <mergeCell ref="E143:H143"/>
    <mergeCell ref="E144:H144"/>
    <mergeCell ref="E145:H145"/>
    <mergeCell ref="E146:H146"/>
    <mergeCell ref="E147:H147"/>
    <mergeCell ref="E136:H136"/>
    <mergeCell ref="E137:H137"/>
    <mergeCell ref="E138:H138"/>
    <mergeCell ref="E139:H139"/>
    <mergeCell ref="E140:H140"/>
    <mergeCell ref="E141:H141"/>
    <mergeCell ref="E130:H130"/>
    <mergeCell ref="E131:H131"/>
    <mergeCell ref="E132:H132"/>
    <mergeCell ref="E133:H133"/>
    <mergeCell ref="E134:H134"/>
    <mergeCell ref="E135:H135"/>
    <mergeCell ref="E124:H124"/>
    <mergeCell ref="E125:H125"/>
    <mergeCell ref="E126:H126"/>
    <mergeCell ref="E127:H127"/>
    <mergeCell ref="E128:H128"/>
    <mergeCell ref="E129:H129"/>
    <mergeCell ref="E118:H118"/>
    <mergeCell ref="E119:H119"/>
    <mergeCell ref="E120:H120"/>
    <mergeCell ref="E121:H121"/>
    <mergeCell ref="E122:H122"/>
    <mergeCell ref="E123:H123"/>
    <mergeCell ref="AQ107:AQ109"/>
    <mergeCell ref="AR107:AR109"/>
    <mergeCell ref="A110:AI110"/>
    <mergeCell ref="A113:H113"/>
    <mergeCell ref="E116:H116"/>
    <mergeCell ref="E117:H117"/>
    <mergeCell ref="AK107:AK109"/>
    <mergeCell ref="AL107:AL109"/>
    <mergeCell ref="AM107:AM109"/>
    <mergeCell ref="AN107:AN109"/>
    <mergeCell ref="AO107:AO109"/>
    <mergeCell ref="AP107:AP109"/>
    <mergeCell ref="AE107:AE109"/>
    <mergeCell ref="AF107:AF109"/>
    <mergeCell ref="AG107:AG109"/>
    <mergeCell ref="AH107:AH109"/>
    <mergeCell ref="AI107:AI109"/>
    <mergeCell ref="AJ107:AJ109"/>
    <mergeCell ref="J107:J109"/>
    <mergeCell ref="K107:K109"/>
    <mergeCell ref="L107:L109"/>
    <mergeCell ref="M107:M109"/>
    <mergeCell ref="N107:N109"/>
    <mergeCell ref="AD107:AD109"/>
    <mergeCell ref="AQ105:AQ106"/>
    <mergeCell ref="AR105:AR106"/>
    <mergeCell ref="A107:A109"/>
    <mergeCell ref="B107:B109"/>
    <mergeCell ref="C107:C109"/>
    <mergeCell ref="D107:D109"/>
    <mergeCell ref="E107:E109"/>
    <mergeCell ref="F107:F109"/>
    <mergeCell ref="G107:G109"/>
    <mergeCell ref="I107:I109"/>
    <mergeCell ref="AK105:AK106"/>
    <mergeCell ref="AL105:AL106"/>
    <mergeCell ref="AM105:AM106"/>
    <mergeCell ref="AN105:AN106"/>
    <mergeCell ref="AO105:AO106"/>
    <mergeCell ref="AP105:AP106"/>
    <mergeCell ref="AE105:AE106"/>
    <mergeCell ref="AF105:AF106"/>
    <mergeCell ref="AG105:AG106"/>
    <mergeCell ref="AH105:AH106"/>
    <mergeCell ref="AI105:AI106"/>
    <mergeCell ref="AJ105:AJ106"/>
    <mergeCell ref="J105:J106"/>
    <mergeCell ref="K105:K106"/>
    <mergeCell ref="L105:L106"/>
    <mergeCell ref="M105:M106"/>
    <mergeCell ref="N105:N106"/>
    <mergeCell ref="AD105:AD106"/>
    <mergeCell ref="AQ103:AQ104"/>
    <mergeCell ref="AR103:AR104"/>
    <mergeCell ref="A105:A106"/>
    <mergeCell ref="B105:B106"/>
    <mergeCell ref="C105:C106"/>
    <mergeCell ref="D105:D106"/>
    <mergeCell ref="E105:E106"/>
    <mergeCell ref="F105:F106"/>
    <mergeCell ref="G105:G106"/>
    <mergeCell ref="I105:I106"/>
    <mergeCell ref="AK103:AK104"/>
    <mergeCell ref="AL103:AL104"/>
    <mergeCell ref="AM103:AM104"/>
    <mergeCell ref="AN103:AN104"/>
    <mergeCell ref="AO103:AO104"/>
    <mergeCell ref="AP103:AP104"/>
    <mergeCell ref="AE103:AE104"/>
    <mergeCell ref="AF103:AF104"/>
    <mergeCell ref="AG103:AG104"/>
    <mergeCell ref="AH103:AH104"/>
    <mergeCell ref="AI103:AI104"/>
    <mergeCell ref="AJ103:AJ104"/>
    <mergeCell ref="J103:J104"/>
    <mergeCell ref="K103:K104"/>
    <mergeCell ref="L103:L104"/>
    <mergeCell ref="M103:M104"/>
    <mergeCell ref="N103:N104"/>
    <mergeCell ref="AD103:AD104"/>
    <mergeCell ref="AQ100:AQ102"/>
    <mergeCell ref="M100:M102"/>
    <mergeCell ref="N100:N102"/>
    <mergeCell ref="AD100:AD102"/>
    <mergeCell ref="AR100:AR102"/>
    <mergeCell ref="A103:A104"/>
    <mergeCell ref="B103:B104"/>
    <mergeCell ref="C103:C104"/>
    <mergeCell ref="D103:D104"/>
    <mergeCell ref="E103:E104"/>
    <mergeCell ref="F103:F104"/>
    <mergeCell ref="G103:G104"/>
    <mergeCell ref="I103:I104"/>
    <mergeCell ref="AK100:AK102"/>
    <mergeCell ref="AL100:AL102"/>
    <mergeCell ref="AM100:AM102"/>
    <mergeCell ref="AN100:AN102"/>
    <mergeCell ref="AO100:AO102"/>
    <mergeCell ref="AP100:AP102"/>
    <mergeCell ref="AE100:AE102"/>
    <mergeCell ref="AF100:AF102"/>
    <mergeCell ref="AG100:AG102"/>
    <mergeCell ref="AH100:AH102"/>
    <mergeCell ref="AI100:AI102"/>
    <mergeCell ref="AJ100:AJ102"/>
    <mergeCell ref="J100:J102"/>
    <mergeCell ref="K100:K102"/>
    <mergeCell ref="L100:L102"/>
    <mergeCell ref="AR97:AR99"/>
    <mergeCell ref="H98:H99"/>
    <mergeCell ref="A100:A102"/>
    <mergeCell ref="B100:B102"/>
    <mergeCell ref="C100:C102"/>
    <mergeCell ref="D100:D102"/>
    <mergeCell ref="E100:E102"/>
    <mergeCell ref="F100:F102"/>
    <mergeCell ref="G100:G102"/>
    <mergeCell ref="I100:I102"/>
    <mergeCell ref="AL97:AL99"/>
    <mergeCell ref="AM97:AM99"/>
    <mergeCell ref="AN97:AN99"/>
    <mergeCell ref="AO97:AO99"/>
    <mergeCell ref="AP97:AP99"/>
    <mergeCell ref="AQ97:AQ99"/>
    <mergeCell ref="AF97:AF99"/>
    <mergeCell ref="AG97:AG99"/>
    <mergeCell ref="AH97:AH99"/>
    <mergeCell ref="AI97:AI99"/>
    <mergeCell ref="AJ97:AJ99"/>
    <mergeCell ref="AK97:AK99"/>
    <mergeCell ref="K97:K99"/>
    <mergeCell ref="L97:L99"/>
    <mergeCell ref="M97:M99"/>
    <mergeCell ref="N97:N99"/>
    <mergeCell ref="AD97:AD99"/>
    <mergeCell ref="AE97:AE99"/>
    <mergeCell ref="AR94:AR96"/>
    <mergeCell ref="A97:A99"/>
    <mergeCell ref="B97:B99"/>
    <mergeCell ref="C97:C99"/>
    <mergeCell ref="D97:D99"/>
    <mergeCell ref="E97:E99"/>
    <mergeCell ref="F97:F99"/>
    <mergeCell ref="G97:G99"/>
    <mergeCell ref="I97:I99"/>
    <mergeCell ref="J97:J99"/>
    <mergeCell ref="AL94:AL96"/>
    <mergeCell ref="AM94:AM96"/>
    <mergeCell ref="AN94:AN96"/>
    <mergeCell ref="AO94:AO96"/>
    <mergeCell ref="AP94:AP96"/>
    <mergeCell ref="AQ94:AQ96"/>
    <mergeCell ref="AF94:AF96"/>
    <mergeCell ref="AG94:AG96"/>
    <mergeCell ref="AH94:AH96"/>
    <mergeCell ref="AI94:AI96"/>
    <mergeCell ref="AJ94:AJ96"/>
    <mergeCell ref="AK94:AK96"/>
    <mergeCell ref="K94:K96"/>
    <mergeCell ref="L94:L96"/>
    <mergeCell ref="M94:M96"/>
    <mergeCell ref="N94:N96"/>
    <mergeCell ref="AD94:AD96"/>
    <mergeCell ref="AE94:AE96"/>
    <mergeCell ref="AR92:AR93"/>
    <mergeCell ref="AL92:AL93"/>
    <mergeCell ref="AM92:AM93"/>
    <mergeCell ref="AN92:AN93"/>
    <mergeCell ref="AO92:AO93"/>
    <mergeCell ref="AP92:AP93"/>
    <mergeCell ref="AQ92:AQ93"/>
    <mergeCell ref="AE92:AE93"/>
    <mergeCell ref="AF92:AF93"/>
    <mergeCell ref="AG92:AG93"/>
    <mergeCell ref="AH92:AH93"/>
    <mergeCell ref="AI92:AI93"/>
    <mergeCell ref="AK92:AK93"/>
    <mergeCell ref="A94:A96"/>
    <mergeCell ref="B94:B96"/>
    <mergeCell ref="C94:C96"/>
    <mergeCell ref="D94:D96"/>
    <mergeCell ref="E94:E96"/>
    <mergeCell ref="F94:F96"/>
    <mergeCell ref="G94:G96"/>
    <mergeCell ref="I94:I96"/>
    <mergeCell ref="J94:J96"/>
    <mergeCell ref="J92:J93"/>
    <mergeCell ref="K92:K93"/>
    <mergeCell ref="L92:L93"/>
    <mergeCell ref="M92:M93"/>
    <mergeCell ref="N92:N93"/>
    <mergeCell ref="AD92:AD93"/>
    <mergeCell ref="AQ90:AQ91"/>
    <mergeCell ref="AR90:AR91"/>
    <mergeCell ref="A92:A93"/>
    <mergeCell ref="B92:B93"/>
    <mergeCell ref="C92:C93"/>
    <mergeCell ref="D92:D93"/>
    <mergeCell ref="E92:E93"/>
    <mergeCell ref="F92:F93"/>
    <mergeCell ref="G92:G93"/>
    <mergeCell ref="I92:I93"/>
    <mergeCell ref="AK90:AK91"/>
    <mergeCell ref="AL90:AL91"/>
    <mergeCell ref="AM90:AM91"/>
    <mergeCell ref="AN90:AN91"/>
    <mergeCell ref="AO90:AO91"/>
    <mergeCell ref="AP90:AP91"/>
    <mergeCell ref="AD90:AD91"/>
    <mergeCell ref="AE90:AE91"/>
    <mergeCell ref="AF90:AF91"/>
    <mergeCell ref="AG90:AG91"/>
    <mergeCell ref="AH90:AH91"/>
    <mergeCell ref="AI90:AI91"/>
    <mergeCell ref="I90:I91"/>
    <mergeCell ref="J90:J91"/>
    <mergeCell ref="K90:K91"/>
    <mergeCell ref="L90:L91"/>
    <mergeCell ref="M90:M91"/>
    <mergeCell ref="N90:N91"/>
    <mergeCell ref="AQ84:AQ89"/>
    <mergeCell ref="AR84:AR89"/>
    <mergeCell ref="H85:H87"/>
    <mergeCell ref="A90:A91"/>
    <mergeCell ref="B90:B91"/>
    <mergeCell ref="C90:C91"/>
    <mergeCell ref="D90:D91"/>
    <mergeCell ref="E90:E91"/>
    <mergeCell ref="F90:F91"/>
    <mergeCell ref="G90:G91"/>
    <mergeCell ref="AK84:AK89"/>
    <mergeCell ref="AL84:AL89"/>
    <mergeCell ref="AM84:AM89"/>
    <mergeCell ref="AN84:AN89"/>
    <mergeCell ref="AO84:AO89"/>
    <mergeCell ref="AP84:AP89"/>
    <mergeCell ref="AE84:AE89"/>
    <mergeCell ref="AF84:AF89"/>
    <mergeCell ref="AG84:AG89"/>
    <mergeCell ref="AH84:AH89"/>
    <mergeCell ref="AI84:AI89"/>
    <mergeCell ref="AJ84:AJ89"/>
    <mergeCell ref="J84:J89"/>
    <mergeCell ref="K84:K89"/>
    <mergeCell ref="L84:L89"/>
    <mergeCell ref="M84:M89"/>
    <mergeCell ref="N84:N89"/>
    <mergeCell ref="AD84:AD89"/>
    <mergeCell ref="AQ79:AQ83"/>
    <mergeCell ref="AR79:AR83"/>
    <mergeCell ref="A84:A89"/>
    <mergeCell ref="B84:B89"/>
    <mergeCell ref="C84:C89"/>
    <mergeCell ref="D84:D89"/>
    <mergeCell ref="E84:E89"/>
    <mergeCell ref="F84:F89"/>
    <mergeCell ref="G84:G89"/>
    <mergeCell ref="I84:I89"/>
    <mergeCell ref="AK79:AK83"/>
    <mergeCell ref="AL79:AL83"/>
    <mergeCell ref="AM79:AM83"/>
    <mergeCell ref="AN79:AN83"/>
    <mergeCell ref="AO79:AO83"/>
    <mergeCell ref="AP79:AP83"/>
    <mergeCell ref="AD79:AD83"/>
    <mergeCell ref="AE79:AE83"/>
    <mergeCell ref="AF79:AF83"/>
    <mergeCell ref="AG79:AG83"/>
    <mergeCell ref="AH79:AH83"/>
    <mergeCell ref="AI79:AI83"/>
    <mergeCell ref="I79:I83"/>
    <mergeCell ref="J79:J83"/>
    <mergeCell ref="K79:K83"/>
    <mergeCell ref="L79:L83"/>
    <mergeCell ref="M79:M83"/>
    <mergeCell ref="N79:N83"/>
    <mergeCell ref="AP76:AP78"/>
    <mergeCell ref="K76:K78"/>
    <mergeCell ref="L76:L78"/>
    <mergeCell ref="M76:M78"/>
    <mergeCell ref="AQ76:AQ78"/>
    <mergeCell ref="AR76:AR78"/>
    <mergeCell ref="A79:A83"/>
    <mergeCell ref="B79:B83"/>
    <mergeCell ref="C79:C83"/>
    <mergeCell ref="D79:D83"/>
    <mergeCell ref="E79:E83"/>
    <mergeCell ref="F79:F83"/>
    <mergeCell ref="G79:G83"/>
    <mergeCell ref="AI76:AI78"/>
    <mergeCell ref="AK76:AK78"/>
    <mergeCell ref="AL76:AL78"/>
    <mergeCell ref="AM76:AM78"/>
    <mergeCell ref="AN76:AN78"/>
    <mergeCell ref="AO76:AO78"/>
    <mergeCell ref="N76:N78"/>
    <mergeCell ref="AD76:AD78"/>
    <mergeCell ref="AE76:AE78"/>
    <mergeCell ref="AF76:AF78"/>
    <mergeCell ref="AG76:AG78"/>
    <mergeCell ref="AH76:AH78"/>
    <mergeCell ref="G76:G78"/>
    <mergeCell ref="I76:I78"/>
    <mergeCell ref="J76:J78"/>
    <mergeCell ref="A76:A78"/>
    <mergeCell ref="B76:B78"/>
    <mergeCell ref="C76:C78"/>
    <mergeCell ref="D76:D78"/>
    <mergeCell ref="E76:E78"/>
    <mergeCell ref="F76:F78"/>
    <mergeCell ref="AM73:AM75"/>
    <mergeCell ref="AN73:AN75"/>
    <mergeCell ref="AO73:AO75"/>
    <mergeCell ref="K73:K75"/>
    <mergeCell ref="L73:L75"/>
    <mergeCell ref="M73:M75"/>
    <mergeCell ref="N73:N75"/>
    <mergeCell ref="AD73:AD75"/>
    <mergeCell ref="AE73:AE75"/>
    <mergeCell ref="AP73:AP75"/>
    <mergeCell ref="AQ73:AQ75"/>
    <mergeCell ref="AR73:AR75"/>
    <mergeCell ref="AF73:AF75"/>
    <mergeCell ref="AG73:AG75"/>
    <mergeCell ref="AH73:AH75"/>
    <mergeCell ref="AI73:AI75"/>
    <mergeCell ref="AK73:AK75"/>
    <mergeCell ref="AL73:AL75"/>
    <mergeCell ref="AR67:AR72"/>
    <mergeCell ref="A73:A75"/>
    <mergeCell ref="B73:B75"/>
    <mergeCell ref="C73:C75"/>
    <mergeCell ref="D73:D75"/>
    <mergeCell ref="E73:E75"/>
    <mergeCell ref="F73:F75"/>
    <mergeCell ref="G73:G75"/>
    <mergeCell ref="I73:I75"/>
    <mergeCell ref="J73:J75"/>
    <mergeCell ref="AL67:AL72"/>
    <mergeCell ref="AM67:AM72"/>
    <mergeCell ref="AN67:AN72"/>
    <mergeCell ref="AO67:AO72"/>
    <mergeCell ref="AP67:AP72"/>
    <mergeCell ref="AQ67:AQ72"/>
    <mergeCell ref="AE67:AE72"/>
    <mergeCell ref="AF67:AF72"/>
    <mergeCell ref="AG67:AG72"/>
    <mergeCell ref="AH67:AH72"/>
    <mergeCell ref="AI67:AI72"/>
    <mergeCell ref="AK67:AK72"/>
    <mergeCell ref="J67:J72"/>
    <mergeCell ref="K67:K72"/>
    <mergeCell ref="L67:L72"/>
    <mergeCell ref="M67:M72"/>
    <mergeCell ref="N67:N72"/>
    <mergeCell ref="AD67:AD72"/>
    <mergeCell ref="AQ64:AQ66"/>
    <mergeCell ref="AR64:AR66"/>
    <mergeCell ref="A67:A72"/>
    <mergeCell ref="B67:B72"/>
    <mergeCell ref="C67:C72"/>
    <mergeCell ref="D67:D72"/>
    <mergeCell ref="E67:E72"/>
    <mergeCell ref="F67:F72"/>
    <mergeCell ref="G67:G72"/>
    <mergeCell ref="I67:I72"/>
    <mergeCell ref="AK64:AK66"/>
    <mergeCell ref="AL64:AL66"/>
    <mergeCell ref="AM64:AM66"/>
    <mergeCell ref="AN64:AN66"/>
    <mergeCell ref="AO64:AO66"/>
    <mergeCell ref="AP64:AP66"/>
    <mergeCell ref="AD64:AD66"/>
    <mergeCell ref="AE64:AE66"/>
    <mergeCell ref="AF64:AF66"/>
    <mergeCell ref="AG64:AG66"/>
    <mergeCell ref="AH64:AH66"/>
    <mergeCell ref="AI64:AI66"/>
    <mergeCell ref="I64:I66"/>
    <mergeCell ref="J64:J66"/>
    <mergeCell ref="K64:K66"/>
    <mergeCell ref="L64:L66"/>
    <mergeCell ref="M64:M66"/>
    <mergeCell ref="N64:N66"/>
    <mergeCell ref="AP60:AP63"/>
    <mergeCell ref="K60:K63"/>
    <mergeCell ref="L60:L63"/>
    <mergeCell ref="M60:M63"/>
    <mergeCell ref="AQ60:AQ63"/>
    <mergeCell ref="AR60:AR63"/>
    <mergeCell ref="A64:A66"/>
    <mergeCell ref="B64:B66"/>
    <mergeCell ref="C64:C66"/>
    <mergeCell ref="D64:D66"/>
    <mergeCell ref="E64:E66"/>
    <mergeCell ref="F64:F66"/>
    <mergeCell ref="G64:G66"/>
    <mergeCell ref="AI60:AI63"/>
    <mergeCell ref="AK60:AK63"/>
    <mergeCell ref="AL60:AL63"/>
    <mergeCell ref="AM60:AM63"/>
    <mergeCell ref="AN60:AN63"/>
    <mergeCell ref="AO60:AO63"/>
    <mergeCell ref="N60:N63"/>
    <mergeCell ref="AD60:AD63"/>
    <mergeCell ref="AE60:AE63"/>
    <mergeCell ref="AF60:AF63"/>
    <mergeCell ref="AG60:AG63"/>
    <mergeCell ref="AH60:AH63"/>
    <mergeCell ref="H60:H61"/>
    <mergeCell ref="I60:I63"/>
    <mergeCell ref="J60:J63"/>
    <mergeCell ref="AP56:AP59"/>
    <mergeCell ref="AQ56:AQ59"/>
    <mergeCell ref="AR56:AR59"/>
    <mergeCell ref="A60:A63"/>
    <mergeCell ref="B60:B63"/>
    <mergeCell ref="C60:C63"/>
    <mergeCell ref="D60:D63"/>
    <mergeCell ref="E60:E63"/>
    <mergeCell ref="F60:F63"/>
    <mergeCell ref="G60:G63"/>
    <mergeCell ref="AI56:AI59"/>
    <mergeCell ref="AK56:AK59"/>
    <mergeCell ref="AL56:AL59"/>
    <mergeCell ref="AM56:AM59"/>
    <mergeCell ref="AN56:AN59"/>
    <mergeCell ref="AO56:AO59"/>
    <mergeCell ref="N56:N59"/>
    <mergeCell ref="AD56:AD59"/>
    <mergeCell ref="AE56:AE59"/>
    <mergeCell ref="AF56:AF59"/>
    <mergeCell ref="AG56:AG59"/>
    <mergeCell ref="AH56:AH59"/>
    <mergeCell ref="G56:G59"/>
    <mergeCell ref="I56:I59"/>
    <mergeCell ref="J56:J59"/>
    <mergeCell ref="K56:K59"/>
    <mergeCell ref="L56:L59"/>
    <mergeCell ref="M56:M59"/>
    <mergeCell ref="A56:A59"/>
    <mergeCell ref="B56:B59"/>
    <mergeCell ref="C56:C59"/>
    <mergeCell ref="D56:D59"/>
    <mergeCell ref="E56:E59"/>
    <mergeCell ref="F56:F59"/>
    <mergeCell ref="AM50:AM55"/>
    <mergeCell ref="AN50:AN55"/>
    <mergeCell ref="AO50:AO55"/>
    <mergeCell ref="AP50:AP55"/>
    <mergeCell ref="AQ50:AQ55"/>
    <mergeCell ref="AR50:AR55"/>
    <mergeCell ref="AG50:AG55"/>
    <mergeCell ref="AH50:AH55"/>
    <mergeCell ref="AI50:AI55"/>
    <mergeCell ref="AJ50:AJ55"/>
    <mergeCell ref="AK50:AK55"/>
    <mergeCell ref="AL50:AL55"/>
    <mergeCell ref="L50:L55"/>
    <mergeCell ref="M50:M55"/>
    <mergeCell ref="N50:N55"/>
    <mergeCell ref="AD50:AD55"/>
    <mergeCell ref="AE50:AE55"/>
    <mergeCell ref="AF50:AF55"/>
    <mergeCell ref="F50:F55"/>
    <mergeCell ref="G50:G55"/>
    <mergeCell ref="H50:H51"/>
    <mergeCell ref="I50:I55"/>
    <mergeCell ref="J50:J55"/>
    <mergeCell ref="K50:K55"/>
    <mergeCell ref="H52:H54"/>
    <mergeCell ref="AO44:AO49"/>
    <mergeCell ref="AP44:AP49"/>
    <mergeCell ref="AQ44:AQ49"/>
    <mergeCell ref="AR44:AR49"/>
    <mergeCell ref="H46:H47"/>
    <mergeCell ref="A50:A55"/>
    <mergeCell ref="B50:B55"/>
    <mergeCell ref="C50:C55"/>
    <mergeCell ref="D50:D55"/>
    <mergeCell ref="E50:E55"/>
    <mergeCell ref="AI44:AI49"/>
    <mergeCell ref="AJ44:AJ49"/>
    <mergeCell ref="AK44:AK49"/>
    <mergeCell ref="AL44:AL49"/>
    <mergeCell ref="AM44:AM49"/>
    <mergeCell ref="AN44:AN49"/>
    <mergeCell ref="N44:N49"/>
    <mergeCell ref="AD44:AD49"/>
    <mergeCell ref="AE44:AE49"/>
    <mergeCell ref="AF44:AF49"/>
    <mergeCell ref="AG44:AG49"/>
    <mergeCell ref="AH44:AH49"/>
    <mergeCell ref="G44:G49"/>
    <mergeCell ref="I44:I49"/>
    <mergeCell ref="J44:J49"/>
    <mergeCell ref="K44:K49"/>
    <mergeCell ref="L44:L49"/>
    <mergeCell ref="M44:M49"/>
    <mergeCell ref="A44:A49"/>
    <mergeCell ref="B44:B49"/>
    <mergeCell ref="C44:C49"/>
    <mergeCell ref="D44:D49"/>
    <mergeCell ref="E44:E49"/>
    <mergeCell ref="F44:F49"/>
    <mergeCell ref="AR35:AR43"/>
    <mergeCell ref="H37:H38"/>
    <mergeCell ref="AH35:AH43"/>
    <mergeCell ref="AI35:AI43"/>
    <mergeCell ref="AJ35:AJ43"/>
    <mergeCell ref="AK35:AK43"/>
    <mergeCell ref="AL35:AL43"/>
    <mergeCell ref="AM35:AM43"/>
    <mergeCell ref="M35:M43"/>
    <mergeCell ref="N35:N43"/>
    <mergeCell ref="AD35:AD43"/>
    <mergeCell ref="AE35:AE43"/>
    <mergeCell ref="AF35:AF43"/>
    <mergeCell ref="AG35:AG43"/>
    <mergeCell ref="G35:G43"/>
    <mergeCell ref="H35:H36"/>
    <mergeCell ref="I35:I43"/>
    <mergeCell ref="J35:J43"/>
    <mergeCell ref="K35:K43"/>
    <mergeCell ref="L35:L43"/>
    <mergeCell ref="AO33:AO34"/>
    <mergeCell ref="AP33:AP34"/>
    <mergeCell ref="AQ33:AQ34"/>
    <mergeCell ref="M33:M34"/>
    <mergeCell ref="AN35:AN43"/>
    <mergeCell ref="AO35:AO43"/>
    <mergeCell ref="AP35:AP43"/>
    <mergeCell ref="AQ35:AQ43"/>
    <mergeCell ref="AR33:AR34"/>
    <mergeCell ref="A35:A43"/>
    <mergeCell ref="B35:B43"/>
    <mergeCell ref="C35:C43"/>
    <mergeCell ref="D35:D43"/>
    <mergeCell ref="E35:E43"/>
    <mergeCell ref="F35:F43"/>
    <mergeCell ref="AI33:AI34"/>
    <mergeCell ref="AJ33:AJ34"/>
    <mergeCell ref="AK33:AK34"/>
    <mergeCell ref="AL33:AL34"/>
    <mergeCell ref="AM33:AM34"/>
    <mergeCell ref="AN33:AN34"/>
    <mergeCell ref="N33:N34"/>
    <mergeCell ref="AD33:AD34"/>
    <mergeCell ref="AE33:AE34"/>
    <mergeCell ref="AF33:AF34"/>
    <mergeCell ref="AG33:AG34"/>
    <mergeCell ref="AH33:AH34"/>
    <mergeCell ref="G33:G34"/>
    <mergeCell ref="I33:I34"/>
    <mergeCell ref="J33:J34"/>
    <mergeCell ref="K33:K34"/>
    <mergeCell ref="L33:L34"/>
    <mergeCell ref="AO30:AO32"/>
    <mergeCell ref="AP30:AP32"/>
    <mergeCell ref="AQ30:AQ32"/>
    <mergeCell ref="AR30:AR32"/>
    <mergeCell ref="A33:A34"/>
    <mergeCell ref="B33:B34"/>
    <mergeCell ref="C33:C34"/>
    <mergeCell ref="D33:D34"/>
    <mergeCell ref="E33:E34"/>
    <mergeCell ref="F33:F34"/>
    <mergeCell ref="AI30:AI32"/>
    <mergeCell ref="AJ30:AJ32"/>
    <mergeCell ref="AK30:AK32"/>
    <mergeCell ref="AL30:AL32"/>
    <mergeCell ref="AM30:AM32"/>
    <mergeCell ref="AN30:AN32"/>
    <mergeCell ref="N30:N32"/>
    <mergeCell ref="AD30:AD32"/>
    <mergeCell ref="AE30:AE32"/>
    <mergeCell ref="AF30:AF32"/>
    <mergeCell ref="AG30:AG32"/>
    <mergeCell ref="AH30:AH32"/>
    <mergeCell ref="G30:G32"/>
    <mergeCell ref="I30:I32"/>
    <mergeCell ref="J30:J32"/>
    <mergeCell ref="K30:K32"/>
    <mergeCell ref="L30:L32"/>
    <mergeCell ref="M30:M32"/>
    <mergeCell ref="A30:A32"/>
    <mergeCell ref="B30:B32"/>
    <mergeCell ref="C30:C32"/>
    <mergeCell ref="D30:D32"/>
    <mergeCell ref="E30:E32"/>
    <mergeCell ref="F30:F32"/>
    <mergeCell ref="AQ26:AQ29"/>
    <mergeCell ref="AR26:AR29"/>
    <mergeCell ref="H27:H28"/>
    <mergeCell ref="AH26:AH29"/>
    <mergeCell ref="AI26:AI29"/>
    <mergeCell ref="AJ26:AJ29"/>
    <mergeCell ref="AK26:AK29"/>
    <mergeCell ref="AL26:AL29"/>
    <mergeCell ref="AM26:AM29"/>
    <mergeCell ref="M26:M29"/>
    <mergeCell ref="N26:N29"/>
    <mergeCell ref="AD26:AD29"/>
    <mergeCell ref="AE26:AE29"/>
    <mergeCell ref="AF26:AF29"/>
    <mergeCell ref="AG26:AG29"/>
    <mergeCell ref="F26:F29"/>
    <mergeCell ref="G26:G29"/>
    <mergeCell ref="I26:I29"/>
    <mergeCell ref="J26:J29"/>
    <mergeCell ref="K26:K29"/>
    <mergeCell ref="L26:L29"/>
    <mergeCell ref="AN20:AN25"/>
    <mergeCell ref="AO20:AO25"/>
    <mergeCell ref="AP20:AP25"/>
    <mergeCell ref="L20:L25"/>
    <mergeCell ref="AN26:AN29"/>
    <mergeCell ref="AO26:AO29"/>
    <mergeCell ref="AP26:AP29"/>
    <mergeCell ref="AQ20:AQ25"/>
    <mergeCell ref="AR20:AR25"/>
    <mergeCell ref="A26:A29"/>
    <mergeCell ref="B26:B29"/>
    <mergeCell ref="C26:C29"/>
    <mergeCell ref="D26:D29"/>
    <mergeCell ref="E26:E29"/>
    <mergeCell ref="AH20:AH25"/>
    <mergeCell ref="AI20:AI25"/>
    <mergeCell ref="AJ20:AJ25"/>
    <mergeCell ref="AK20:AK25"/>
    <mergeCell ref="AL20:AL25"/>
    <mergeCell ref="AM20:AM25"/>
    <mergeCell ref="M20:M25"/>
    <mergeCell ref="N20:N25"/>
    <mergeCell ref="AD20:AD25"/>
    <mergeCell ref="AE20:AE25"/>
    <mergeCell ref="AF20:AF25"/>
    <mergeCell ref="AG20:AG25"/>
    <mergeCell ref="F20:F25"/>
    <mergeCell ref="G20:G25"/>
    <mergeCell ref="I20:I25"/>
    <mergeCell ref="J20:J25"/>
    <mergeCell ref="K20:K25"/>
    <mergeCell ref="AN17:AN19"/>
    <mergeCell ref="AO17:AO19"/>
    <mergeCell ref="AP17:AP19"/>
    <mergeCell ref="AQ17:AQ19"/>
    <mergeCell ref="AR17:AR19"/>
    <mergeCell ref="A20:A25"/>
    <mergeCell ref="B20:B25"/>
    <mergeCell ref="C20:C25"/>
    <mergeCell ref="D20:D25"/>
    <mergeCell ref="E20:E25"/>
    <mergeCell ref="AH17:AH19"/>
    <mergeCell ref="AI17:AI19"/>
    <mergeCell ref="AJ17:AJ19"/>
    <mergeCell ref="AK17:AK19"/>
    <mergeCell ref="AL17:AL19"/>
    <mergeCell ref="AM17:AM19"/>
    <mergeCell ref="M17:M19"/>
    <mergeCell ref="N17:N19"/>
    <mergeCell ref="AD17:AD19"/>
    <mergeCell ref="AE17:AE19"/>
    <mergeCell ref="AF17:AF19"/>
    <mergeCell ref="AG17:AG19"/>
    <mergeCell ref="G17:G19"/>
    <mergeCell ref="H17:H18"/>
    <mergeCell ref="I17:I19"/>
    <mergeCell ref="J17:J19"/>
    <mergeCell ref="K17:K19"/>
    <mergeCell ref="L17:L19"/>
    <mergeCell ref="AO15:AO16"/>
    <mergeCell ref="AP15:AP16"/>
    <mergeCell ref="AQ15:AQ16"/>
    <mergeCell ref="AR15:AR16"/>
    <mergeCell ref="A17:A19"/>
    <mergeCell ref="B17:B19"/>
    <mergeCell ref="C17:C19"/>
    <mergeCell ref="D17:D19"/>
    <mergeCell ref="E17:E19"/>
    <mergeCell ref="F17:F19"/>
    <mergeCell ref="AH15:AH16"/>
    <mergeCell ref="AI15:AI16"/>
    <mergeCell ref="AK15:AK16"/>
    <mergeCell ref="AL15:AL16"/>
    <mergeCell ref="AM15:AM16"/>
    <mergeCell ref="AN15:AN16"/>
    <mergeCell ref="M15:M16"/>
    <mergeCell ref="N15:N16"/>
    <mergeCell ref="AD15:AD16"/>
    <mergeCell ref="AE15:AE16"/>
    <mergeCell ref="AF15:AF16"/>
    <mergeCell ref="AG15:AG16"/>
    <mergeCell ref="G15:G16"/>
    <mergeCell ref="H15:H16"/>
    <mergeCell ref="I15:I16"/>
    <mergeCell ref="J15:J16"/>
    <mergeCell ref="K15:K16"/>
    <mergeCell ref="L15:L16"/>
    <mergeCell ref="AF13:AF14"/>
    <mergeCell ref="AG13:AG14"/>
    <mergeCell ref="AQ11:AQ14"/>
    <mergeCell ref="AR11:AR14"/>
    <mergeCell ref="AL11:AL14"/>
    <mergeCell ref="AM11:AM14"/>
    <mergeCell ref="AN11:AN14"/>
    <mergeCell ref="AO11:AO14"/>
    <mergeCell ref="AH13:AH14"/>
    <mergeCell ref="AJ13:AJ14"/>
    <mergeCell ref="A15:A16"/>
    <mergeCell ref="B15:B16"/>
    <mergeCell ref="C15:C16"/>
    <mergeCell ref="D15:D16"/>
    <mergeCell ref="E15:E16"/>
    <mergeCell ref="F15:F16"/>
    <mergeCell ref="Z13:Z14"/>
    <mergeCell ref="AA13:AA14"/>
    <mergeCell ref="AB13:AB14"/>
    <mergeCell ref="AC13:AC14"/>
    <mergeCell ref="AD13:AD14"/>
    <mergeCell ref="AE13:AE14"/>
    <mergeCell ref="N13:N14"/>
    <mergeCell ref="O13:O14"/>
    <mergeCell ref="P13:P14"/>
    <mergeCell ref="Q13:Q14"/>
    <mergeCell ref="AI11:AJ11"/>
    <mergeCell ref="AK11:AK14"/>
    <mergeCell ref="AD12:AH12"/>
    <mergeCell ref="AI12:AI14"/>
    <mergeCell ref="J13:J14"/>
    <mergeCell ref="K13:K14"/>
    <mergeCell ref="L13:L14"/>
    <mergeCell ref="M13:M14"/>
    <mergeCell ref="AP11:AP14"/>
    <mergeCell ref="R13:X13"/>
    <mergeCell ref="Y13:Y14"/>
    <mergeCell ref="J12:N12"/>
    <mergeCell ref="O12:X12"/>
    <mergeCell ref="A11:I11"/>
    <mergeCell ref="J11:AH11"/>
    <mergeCell ref="A6:C7"/>
    <mergeCell ref="D6:E7"/>
    <mergeCell ref="F6:G6"/>
    <mergeCell ref="H6:I6"/>
    <mergeCell ref="F7:G7"/>
    <mergeCell ref="H7:I7"/>
    <mergeCell ref="A12:A14"/>
    <mergeCell ref="B12:B14"/>
    <mergeCell ref="C12:C14"/>
    <mergeCell ref="D12:D14"/>
    <mergeCell ref="E12:E14"/>
    <mergeCell ref="F12:F14"/>
    <mergeCell ref="G12:G14"/>
    <mergeCell ref="H12:H14"/>
    <mergeCell ref="I12:I14"/>
    <mergeCell ref="A1:C4"/>
    <mergeCell ref="D1:AF4"/>
    <mergeCell ref="AG1:AI1"/>
    <mergeCell ref="AG2:AI2"/>
    <mergeCell ref="AG3:AI3"/>
    <mergeCell ref="AG4:AI4"/>
    <mergeCell ref="A8:C8"/>
    <mergeCell ref="D8:I8"/>
    <mergeCell ref="A9:C9"/>
    <mergeCell ref="D9:I9"/>
  </mergeCells>
  <conditionalFormatting sqref="J15 J17:J18 J20:J21 J50 J79">
    <cfRule type="cellIs" dxfId="567" priority="521" operator="equal">
      <formula>"Baja"</formula>
    </cfRule>
    <cfRule type="cellIs" dxfId="566" priority="522" operator="equal">
      <formula>"Muy Baja"</formula>
    </cfRule>
    <cfRule type="cellIs" dxfId="565" priority="520" operator="equal">
      <formula>"Media"</formula>
    </cfRule>
    <cfRule type="cellIs" dxfId="564" priority="519" operator="equal">
      <formula>"Alta"</formula>
    </cfRule>
    <cfRule type="cellIs" dxfId="563" priority="518" operator="equal">
      <formula>"Muy Alta"</formula>
    </cfRule>
  </conditionalFormatting>
  <conditionalFormatting sqref="J26:J28">
    <cfRule type="cellIs" dxfId="562" priority="262" operator="equal">
      <formula>"Muy Baja"</formula>
    </cfRule>
    <cfRule type="cellIs" dxfId="561" priority="258" operator="equal">
      <formula>"Muy Alta"</formula>
    </cfRule>
    <cfRule type="cellIs" dxfId="560" priority="259" operator="equal">
      <formula>"Alta"</formula>
    </cfRule>
    <cfRule type="cellIs" dxfId="559" priority="260" operator="equal">
      <formula>"Media"</formula>
    </cfRule>
    <cfRule type="cellIs" dxfId="558" priority="261" operator="equal">
      <formula>"Baja"</formula>
    </cfRule>
  </conditionalFormatting>
  <conditionalFormatting sqref="J30:J31">
    <cfRule type="cellIs" dxfId="557" priority="244" operator="equal">
      <formula>"Muy Alta"</formula>
    </cfRule>
    <cfRule type="cellIs" dxfId="556" priority="245" operator="equal">
      <formula>"Alta"</formula>
    </cfRule>
    <cfRule type="cellIs" dxfId="555" priority="246" operator="equal">
      <formula>"Media"</formula>
    </cfRule>
    <cfRule type="cellIs" dxfId="554" priority="247" operator="equal">
      <formula>"Baja"</formula>
    </cfRule>
    <cfRule type="cellIs" dxfId="553" priority="248" operator="equal">
      <formula>"Muy Baja"</formula>
    </cfRule>
  </conditionalFormatting>
  <conditionalFormatting sqref="J33">
    <cfRule type="cellIs" dxfId="552" priority="234" operator="equal">
      <formula>"Muy Baja"</formula>
    </cfRule>
    <cfRule type="cellIs" dxfId="551" priority="230" operator="equal">
      <formula>"Muy Alta"</formula>
    </cfRule>
    <cfRule type="cellIs" dxfId="550" priority="233" operator="equal">
      <formula>"Baja"</formula>
    </cfRule>
    <cfRule type="cellIs" dxfId="549" priority="232" operator="equal">
      <formula>"Media"</formula>
    </cfRule>
    <cfRule type="cellIs" dxfId="548" priority="231" operator="equal">
      <formula>"Alta"</formula>
    </cfRule>
  </conditionalFormatting>
  <conditionalFormatting sqref="J35">
    <cfRule type="cellIs" dxfId="547" priority="178" operator="equal">
      <formula>"Muy Baja"</formula>
    </cfRule>
    <cfRule type="cellIs" dxfId="546" priority="175" operator="equal">
      <formula>"Alta"</formula>
    </cfRule>
    <cfRule type="cellIs" dxfId="545" priority="174" operator="equal">
      <formula>"Muy Alta"</formula>
    </cfRule>
    <cfRule type="cellIs" dxfId="544" priority="176" operator="equal">
      <formula>"Media"</formula>
    </cfRule>
    <cfRule type="cellIs" dxfId="543" priority="177" operator="equal">
      <formula>"Baja"</formula>
    </cfRule>
  </conditionalFormatting>
  <conditionalFormatting sqref="J44">
    <cfRule type="cellIs" dxfId="542" priority="150" operator="equal">
      <formula>"Muy Baja"</formula>
    </cfRule>
    <cfRule type="cellIs" dxfId="541" priority="146" operator="equal">
      <formula>"Muy Alta"</formula>
    </cfRule>
    <cfRule type="cellIs" dxfId="540" priority="147" operator="equal">
      <formula>"Alta"</formula>
    </cfRule>
    <cfRule type="cellIs" dxfId="539" priority="148" operator="equal">
      <formula>"Media"</formula>
    </cfRule>
    <cfRule type="cellIs" dxfId="538" priority="149" operator="equal">
      <formula>"Baja"</formula>
    </cfRule>
  </conditionalFormatting>
  <conditionalFormatting sqref="J56">
    <cfRule type="cellIs" dxfId="537" priority="350" operator="equal">
      <formula>"Muy Baja"</formula>
    </cfRule>
    <cfRule type="cellIs" dxfId="536" priority="346" operator="equal">
      <formula>"Muy Alta"</formula>
    </cfRule>
    <cfRule type="cellIs" dxfId="535" priority="347" operator="equal">
      <formula>"Alta"</formula>
    </cfRule>
    <cfRule type="cellIs" dxfId="534" priority="348" operator="equal">
      <formula>"Media"</formula>
    </cfRule>
    <cfRule type="cellIs" dxfId="533" priority="349" operator="equal">
      <formula>"Baja"</formula>
    </cfRule>
  </conditionalFormatting>
  <conditionalFormatting sqref="J60:J61">
    <cfRule type="cellIs" dxfId="532" priority="338" operator="equal">
      <formula>"Media"</formula>
    </cfRule>
    <cfRule type="cellIs" dxfId="531" priority="337" operator="equal">
      <formula>"Alta"</formula>
    </cfRule>
    <cfRule type="cellIs" dxfId="530" priority="336" operator="equal">
      <formula>"Muy Alta"</formula>
    </cfRule>
    <cfRule type="cellIs" dxfId="529" priority="339" operator="equal">
      <formula>"Baja"</formula>
    </cfRule>
    <cfRule type="cellIs" dxfId="528" priority="340" operator="equal">
      <formula>"Muy Baja"</formula>
    </cfRule>
  </conditionalFormatting>
  <conditionalFormatting sqref="J64 J67">
    <cfRule type="cellIs" dxfId="527" priority="288" operator="equal">
      <formula>"Media"</formula>
    </cfRule>
    <cfRule type="cellIs" dxfId="526" priority="289" operator="equal">
      <formula>"Baja"</formula>
    </cfRule>
    <cfRule type="cellIs" dxfId="525" priority="290" operator="equal">
      <formula>"Muy Baja"</formula>
    </cfRule>
    <cfRule type="cellIs" dxfId="524" priority="286" operator="equal">
      <formula>"Muy Alta"</formula>
    </cfRule>
    <cfRule type="cellIs" dxfId="523" priority="287" operator="equal">
      <formula>"Alta"</formula>
    </cfRule>
  </conditionalFormatting>
  <conditionalFormatting sqref="J73">
    <cfRule type="cellIs" dxfId="522" priority="48" operator="equal">
      <formula>"Muy Alta"</formula>
    </cfRule>
    <cfRule type="cellIs" dxfId="521" priority="52" operator="equal">
      <formula>"Muy Baja"</formula>
    </cfRule>
    <cfRule type="cellIs" dxfId="520" priority="51" operator="equal">
      <formula>"Baja"</formula>
    </cfRule>
    <cfRule type="cellIs" dxfId="519" priority="50" operator="equal">
      <formula>"Media"</formula>
    </cfRule>
    <cfRule type="cellIs" dxfId="518" priority="49" operator="equal">
      <formula>"Alta"</formula>
    </cfRule>
  </conditionalFormatting>
  <conditionalFormatting sqref="J76">
    <cfRule type="cellIs" dxfId="517" priority="20" operator="equal">
      <formula>"Muy Alta"</formula>
    </cfRule>
    <cfRule type="cellIs" dxfId="516" priority="23" operator="equal">
      <formula>"Baja"</formula>
    </cfRule>
    <cfRule type="cellIs" dxfId="515" priority="24" operator="equal">
      <formula>"Muy Baja"</formula>
    </cfRule>
    <cfRule type="cellIs" dxfId="514" priority="21" operator="equal">
      <formula>"Alta"</formula>
    </cfRule>
    <cfRule type="cellIs" dxfId="513" priority="22" operator="equal">
      <formula>"Media"</formula>
    </cfRule>
  </conditionalFormatting>
  <conditionalFormatting sqref="J84">
    <cfRule type="cellIs" dxfId="512" priority="434" operator="equal">
      <formula>"Muy Alta"</formula>
    </cfRule>
    <cfRule type="cellIs" dxfId="511" priority="438" operator="equal">
      <formula>"Muy Baja"</formula>
    </cfRule>
    <cfRule type="cellIs" dxfId="510" priority="435" operator="equal">
      <formula>"Alta"</formula>
    </cfRule>
    <cfRule type="cellIs" dxfId="509" priority="436" operator="equal">
      <formula>"Media"</formula>
    </cfRule>
    <cfRule type="cellIs" dxfId="508" priority="437" operator="equal">
      <formula>"Baja"</formula>
    </cfRule>
  </conditionalFormatting>
  <conditionalFormatting sqref="J90">
    <cfRule type="cellIs" dxfId="507" priority="409" operator="equal">
      <formula>"Baja"</formula>
    </cfRule>
    <cfRule type="cellIs" dxfId="506" priority="406" operator="equal">
      <formula>"Muy Alta"</formula>
    </cfRule>
    <cfRule type="cellIs" dxfId="505" priority="410" operator="equal">
      <formula>"Muy Baja"</formula>
    </cfRule>
    <cfRule type="cellIs" dxfId="504" priority="408" operator="equal">
      <formula>"Media"</formula>
    </cfRule>
    <cfRule type="cellIs" dxfId="503" priority="407" operator="equal">
      <formula>"Alta"</formula>
    </cfRule>
  </conditionalFormatting>
  <conditionalFormatting sqref="J92">
    <cfRule type="cellIs" dxfId="502" priority="382" operator="equal">
      <formula>"Muy Baja"</formula>
    </cfRule>
    <cfRule type="cellIs" dxfId="501" priority="380" operator="equal">
      <formula>"Media"</formula>
    </cfRule>
    <cfRule type="cellIs" dxfId="500" priority="379" operator="equal">
      <formula>"Alta"</formula>
    </cfRule>
    <cfRule type="cellIs" dxfId="499" priority="378" operator="equal">
      <formula>"Muy Alta"</formula>
    </cfRule>
    <cfRule type="cellIs" dxfId="498" priority="381" operator="equal">
      <formula>"Baja"</formula>
    </cfRule>
  </conditionalFormatting>
  <conditionalFormatting sqref="J94 J97 J100 J103 J105">
    <cfRule type="cellIs" dxfId="497" priority="120" operator="equal">
      <formula>"Media"</formula>
    </cfRule>
    <cfRule type="cellIs" dxfId="496" priority="119" operator="equal">
      <formula>"Alta"</formula>
    </cfRule>
    <cfRule type="cellIs" dxfId="495" priority="118" operator="equal">
      <formula>"Muy Alta"</formula>
    </cfRule>
    <cfRule type="cellIs" dxfId="494" priority="122" operator="equal">
      <formula>"Muy Baja"</formula>
    </cfRule>
    <cfRule type="cellIs" dxfId="493" priority="121" operator="equal">
      <formula>"Baja"</formula>
    </cfRule>
  </conditionalFormatting>
  <conditionalFormatting sqref="J107">
    <cfRule type="cellIs" dxfId="492" priority="93" operator="equal">
      <formula>"Baja"</formula>
    </cfRule>
    <cfRule type="cellIs" dxfId="491" priority="92" operator="equal">
      <formula>"Media"</formula>
    </cfRule>
    <cfRule type="cellIs" dxfId="490" priority="90" operator="equal">
      <formula>"Muy Alta"</formula>
    </cfRule>
    <cfRule type="cellIs" dxfId="489" priority="94" operator="equal">
      <formula>"Muy Baja"</formula>
    </cfRule>
    <cfRule type="cellIs" dxfId="488" priority="91" operator="equal">
      <formula>"Alta"</formula>
    </cfRule>
  </conditionalFormatting>
  <conditionalFormatting sqref="L15 L17:L18 L20:L21 L50 L79">
    <cfRule type="cellIs" dxfId="487" priority="517" operator="equal">
      <formula>"Leve"</formula>
    </cfRule>
    <cfRule type="cellIs" dxfId="486" priority="514" operator="equal">
      <formula>"Mayor"</formula>
    </cfRule>
    <cfRule type="cellIs" dxfId="485" priority="515" operator="equal">
      <formula>"Moderado"</formula>
    </cfRule>
    <cfRule type="cellIs" dxfId="484" priority="516" operator="equal">
      <formula>"Menor"</formula>
    </cfRule>
    <cfRule type="cellIs" dxfId="483" priority="513" operator="equal">
      <formula>"Catastrófico"</formula>
    </cfRule>
  </conditionalFormatting>
  <conditionalFormatting sqref="L26:L28">
    <cfRule type="cellIs" dxfId="482" priority="254" operator="equal">
      <formula>"Mayor"</formula>
    </cfRule>
    <cfRule type="cellIs" dxfId="481" priority="255" operator="equal">
      <formula>"Moderado"</formula>
    </cfRule>
    <cfRule type="cellIs" dxfId="480" priority="253" operator="equal">
      <formula>"Catastrófico"</formula>
    </cfRule>
    <cfRule type="cellIs" dxfId="479" priority="257" operator="equal">
      <formula>"Leve"</formula>
    </cfRule>
    <cfRule type="cellIs" dxfId="478" priority="256" operator="equal">
      <formula>"Menor"</formula>
    </cfRule>
  </conditionalFormatting>
  <conditionalFormatting sqref="L30:L31">
    <cfRule type="cellIs" dxfId="477" priority="239" operator="equal">
      <formula>"Catastrófico"</formula>
    </cfRule>
    <cfRule type="cellIs" dxfId="476" priority="241" operator="equal">
      <formula>"Moderado"</formula>
    </cfRule>
    <cfRule type="cellIs" dxfId="475" priority="240" operator="equal">
      <formula>"Mayor"</formula>
    </cfRule>
    <cfRule type="cellIs" dxfId="474" priority="243" operator="equal">
      <formula>"Leve"</formula>
    </cfRule>
    <cfRule type="cellIs" dxfId="473" priority="242" operator="equal">
      <formula>"Menor"</formula>
    </cfRule>
  </conditionalFormatting>
  <conditionalFormatting sqref="L33">
    <cfRule type="cellIs" dxfId="472" priority="225" operator="equal">
      <formula>"Catastrófico"</formula>
    </cfRule>
    <cfRule type="cellIs" dxfId="471" priority="226" operator="equal">
      <formula>"Mayor"</formula>
    </cfRule>
    <cfRule type="cellIs" dxfId="470" priority="227" operator="equal">
      <formula>"Moderado"</formula>
    </cfRule>
    <cfRule type="cellIs" dxfId="469" priority="228" operator="equal">
      <formula>"Menor"</formula>
    </cfRule>
    <cfRule type="cellIs" dxfId="468" priority="229" operator="equal">
      <formula>"Leve"</formula>
    </cfRule>
  </conditionalFormatting>
  <conditionalFormatting sqref="L35">
    <cfRule type="cellIs" dxfId="467" priority="173" operator="equal">
      <formula>"Leve"</formula>
    </cfRule>
    <cfRule type="cellIs" dxfId="466" priority="172" operator="equal">
      <formula>"Menor"</formula>
    </cfRule>
    <cfRule type="cellIs" dxfId="465" priority="171" operator="equal">
      <formula>"Moderado"</formula>
    </cfRule>
    <cfRule type="cellIs" dxfId="464" priority="169" operator="equal">
      <formula>"Catastrófico"</formula>
    </cfRule>
    <cfRule type="cellIs" dxfId="463" priority="170" operator="equal">
      <formula>"Mayor"</formula>
    </cfRule>
  </conditionalFormatting>
  <conditionalFormatting sqref="L44">
    <cfRule type="cellIs" dxfId="462" priority="143" operator="equal">
      <formula>"Moderado"</formula>
    </cfRule>
    <cfRule type="cellIs" dxfId="461" priority="142" operator="equal">
      <formula>"Mayor"</formula>
    </cfRule>
    <cfRule type="cellIs" dxfId="460" priority="141" operator="equal">
      <formula>"Catastrófico"</formula>
    </cfRule>
    <cfRule type="cellIs" dxfId="459" priority="145" operator="equal">
      <formula>"Leve"</formula>
    </cfRule>
    <cfRule type="cellIs" dxfId="458" priority="144" operator="equal">
      <formula>"Menor"</formula>
    </cfRule>
  </conditionalFormatting>
  <conditionalFormatting sqref="L56">
    <cfRule type="cellIs" dxfId="457" priority="343" operator="equal">
      <formula>"Moderado"</formula>
    </cfRule>
    <cfRule type="cellIs" dxfId="456" priority="342" operator="equal">
      <formula>"Mayor"</formula>
    </cfRule>
    <cfRule type="cellIs" dxfId="455" priority="341" operator="equal">
      <formula>"Catastrófico"</formula>
    </cfRule>
    <cfRule type="cellIs" dxfId="454" priority="345" operator="equal">
      <formula>"Leve"</formula>
    </cfRule>
    <cfRule type="cellIs" dxfId="453" priority="344" operator="equal">
      <formula>"Menor"</formula>
    </cfRule>
  </conditionalFormatting>
  <conditionalFormatting sqref="L60:L61">
    <cfRule type="cellIs" dxfId="452" priority="333" operator="equal">
      <formula>"Moderado"</formula>
    </cfRule>
    <cfRule type="cellIs" dxfId="451" priority="331" operator="equal">
      <formula>"Catastrófico"</formula>
    </cfRule>
    <cfRule type="cellIs" dxfId="450" priority="332" operator="equal">
      <formula>"Mayor"</formula>
    </cfRule>
    <cfRule type="cellIs" dxfId="449" priority="334" operator="equal">
      <formula>"Menor"</formula>
    </cfRule>
    <cfRule type="cellIs" dxfId="448" priority="335" operator="equal">
      <formula>"Leve"</formula>
    </cfRule>
  </conditionalFormatting>
  <conditionalFormatting sqref="L64 L67">
    <cfRule type="cellIs" dxfId="447" priority="284" operator="equal">
      <formula>"Menor"</formula>
    </cfRule>
    <cfRule type="cellIs" dxfId="446" priority="285" operator="equal">
      <formula>"Leve"</formula>
    </cfRule>
    <cfRule type="cellIs" dxfId="445" priority="281" operator="equal">
      <formula>"Catastrófico"</formula>
    </cfRule>
    <cfRule type="cellIs" dxfId="444" priority="283" operator="equal">
      <formula>"Moderado"</formula>
    </cfRule>
    <cfRule type="cellIs" dxfId="443" priority="282" operator="equal">
      <formula>"Mayor"</formula>
    </cfRule>
  </conditionalFormatting>
  <conditionalFormatting sqref="L73">
    <cfRule type="cellIs" dxfId="442" priority="45" operator="equal">
      <formula>"Moderado"</formula>
    </cfRule>
    <cfRule type="cellIs" dxfId="441" priority="47" operator="equal">
      <formula>"Leve"</formula>
    </cfRule>
    <cfRule type="cellIs" dxfId="440" priority="46" operator="equal">
      <formula>"Menor"</formula>
    </cfRule>
    <cfRule type="cellIs" dxfId="439" priority="44" operator="equal">
      <formula>"Mayor"</formula>
    </cfRule>
    <cfRule type="cellIs" dxfId="438" priority="43" operator="equal">
      <formula>"Catastrófico"</formula>
    </cfRule>
  </conditionalFormatting>
  <conditionalFormatting sqref="L76">
    <cfRule type="cellIs" dxfId="437" priority="15" operator="equal">
      <formula>"Catastrófico"</formula>
    </cfRule>
    <cfRule type="cellIs" dxfId="436" priority="16" operator="equal">
      <formula>"Mayor"</formula>
    </cfRule>
    <cfRule type="cellIs" dxfId="435" priority="19" operator="equal">
      <formula>"Leve"</formula>
    </cfRule>
    <cfRule type="cellIs" dxfId="434" priority="18" operator="equal">
      <formula>"Menor"</formula>
    </cfRule>
    <cfRule type="cellIs" dxfId="433" priority="17" operator="equal">
      <formula>"Moderado"</formula>
    </cfRule>
  </conditionalFormatting>
  <conditionalFormatting sqref="L84">
    <cfRule type="cellIs" dxfId="432" priority="433" operator="equal">
      <formula>"Leve"</formula>
    </cfRule>
    <cfRule type="cellIs" dxfId="431" priority="432" operator="equal">
      <formula>"Menor"</formula>
    </cfRule>
    <cfRule type="cellIs" dxfId="430" priority="431" operator="equal">
      <formula>"Moderado"</formula>
    </cfRule>
    <cfRule type="cellIs" dxfId="429" priority="430" operator="equal">
      <formula>"Mayor"</formula>
    </cfRule>
    <cfRule type="cellIs" dxfId="428" priority="429" operator="equal">
      <formula>"Catastrófico"</formula>
    </cfRule>
  </conditionalFormatting>
  <conditionalFormatting sqref="L90">
    <cfRule type="cellIs" dxfId="427" priority="402" operator="equal">
      <formula>"Mayor"</formula>
    </cfRule>
    <cfRule type="cellIs" dxfId="426" priority="401" operator="equal">
      <formula>"Catastrófico"</formula>
    </cfRule>
    <cfRule type="cellIs" dxfId="425" priority="405" operator="equal">
      <formula>"Leve"</formula>
    </cfRule>
    <cfRule type="cellIs" dxfId="424" priority="404" operator="equal">
      <formula>"Menor"</formula>
    </cfRule>
    <cfRule type="cellIs" dxfId="423" priority="403" operator="equal">
      <formula>"Moderado"</formula>
    </cfRule>
  </conditionalFormatting>
  <conditionalFormatting sqref="L92">
    <cfRule type="cellIs" dxfId="422" priority="375" operator="equal">
      <formula>"Moderado"</formula>
    </cfRule>
    <cfRule type="cellIs" dxfId="421" priority="376" operator="equal">
      <formula>"Menor"</formula>
    </cfRule>
    <cfRule type="cellIs" dxfId="420" priority="377" operator="equal">
      <formula>"Leve"</formula>
    </cfRule>
    <cfRule type="cellIs" dxfId="419" priority="373" operator="equal">
      <formula>"Catastrófico"</formula>
    </cfRule>
    <cfRule type="cellIs" dxfId="418" priority="374" operator="equal">
      <formula>"Mayor"</formula>
    </cfRule>
  </conditionalFormatting>
  <conditionalFormatting sqref="L94 L97 L100 L103 L105">
    <cfRule type="cellIs" dxfId="417" priority="116" operator="equal">
      <formula>"Menor"</formula>
    </cfRule>
    <cfRule type="cellIs" dxfId="416" priority="117" operator="equal">
      <formula>"Leve"</formula>
    </cfRule>
    <cfRule type="cellIs" dxfId="415" priority="115" operator="equal">
      <formula>"Moderado"</formula>
    </cfRule>
    <cfRule type="cellIs" dxfId="414" priority="113" operator="equal">
      <formula>"Catastrófico"</formula>
    </cfRule>
    <cfRule type="cellIs" dxfId="413" priority="114" operator="equal">
      <formula>"Mayor"</formula>
    </cfRule>
  </conditionalFormatting>
  <conditionalFormatting sqref="L107">
    <cfRule type="cellIs" dxfId="412" priority="87" operator="equal">
      <formula>"Moderado"</formula>
    </cfRule>
    <cfRule type="cellIs" dxfId="411" priority="86" operator="equal">
      <formula>"Mayor"</formula>
    </cfRule>
    <cfRule type="cellIs" dxfId="410" priority="88" operator="equal">
      <formula>"Menor"</formula>
    </cfRule>
    <cfRule type="cellIs" dxfId="409" priority="89" operator="equal">
      <formula>"Leve"</formula>
    </cfRule>
    <cfRule type="cellIs" dxfId="408" priority="85" operator="equal">
      <formula>"Catastrófico"</formula>
    </cfRule>
  </conditionalFormatting>
  <conditionalFormatting sqref="N15 N17:N18 N20:N21 N50 N79">
    <cfRule type="cellIs" dxfId="407" priority="509" operator="equal">
      <formula>"Extremo"</formula>
    </cfRule>
    <cfRule type="cellIs" dxfId="406" priority="510" operator="equal">
      <formula>"Alto"</formula>
    </cfRule>
    <cfRule type="cellIs" dxfId="405" priority="511" operator="equal">
      <formula>"Moderado"</formula>
    </cfRule>
    <cfRule type="cellIs" dxfId="404" priority="512" operator="equal">
      <formula>"Bajo"</formula>
    </cfRule>
  </conditionalFormatting>
  <conditionalFormatting sqref="N26:N28">
    <cfRule type="cellIs" dxfId="403" priority="252" operator="equal">
      <formula>"Bajo"</formula>
    </cfRule>
    <cfRule type="cellIs" dxfId="402" priority="251" operator="equal">
      <formula>"Moderado"</formula>
    </cfRule>
    <cfRule type="cellIs" dxfId="401" priority="249" operator="equal">
      <formula>"Extremo"</formula>
    </cfRule>
    <cfRule type="cellIs" dxfId="400" priority="250" operator="equal">
      <formula>"Alto"</formula>
    </cfRule>
  </conditionalFormatting>
  <conditionalFormatting sqref="N30:N31">
    <cfRule type="cellIs" dxfId="399" priority="237" operator="equal">
      <formula>"Moderado"</formula>
    </cfRule>
    <cfRule type="cellIs" dxfId="398" priority="238" operator="equal">
      <formula>"Bajo"</formula>
    </cfRule>
    <cfRule type="cellIs" dxfId="397" priority="236" operator="equal">
      <formula>"Alto"</formula>
    </cfRule>
    <cfRule type="cellIs" dxfId="396" priority="235" operator="equal">
      <formula>"Extremo"</formula>
    </cfRule>
  </conditionalFormatting>
  <conditionalFormatting sqref="N33">
    <cfRule type="cellIs" dxfId="395" priority="224" operator="equal">
      <formula>"Bajo"</formula>
    </cfRule>
    <cfRule type="cellIs" dxfId="394" priority="223" operator="equal">
      <formula>"Moderado"</formula>
    </cfRule>
    <cfRule type="cellIs" dxfId="393" priority="222" operator="equal">
      <formula>"Alto"</formula>
    </cfRule>
    <cfRule type="cellIs" dxfId="392" priority="221" operator="equal">
      <formula>"Extremo"</formula>
    </cfRule>
  </conditionalFormatting>
  <conditionalFormatting sqref="N35">
    <cfRule type="cellIs" dxfId="391" priority="168" operator="equal">
      <formula>"Bajo"</formula>
    </cfRule>
    <cfRule type="cellIs" dxfId="390" priority="167" operator="equal">
      <formula>"Moderado"</formula>
    </cfRule>
    <cfRule type="cellIs" dxfId="389" priority="166" operator="equal">
      <formula>"Alto"</formula>
    </cfRule>
    <cfRule type="cellIs" dxfId="388" priority="165" operator="equal">
      <formula>"Extremo"</formula>
    </cfRule>
  </conditionalFormatting>
  <conditionalFormatting sqref="N44">
    <cfRule type="cellIs" dxfId="387" priority="137" operator="equal">
      <formula>"Extremo"</formula>
    </cfRule>
    <cfRule type="cellIs" dxfId="386" priority="138" operator="equal">
      <formula>"Alto"</formula>
    </cfRule>
    <cfRule type="cellIs" dxfId="385" priority="139" operator="equal">
      <formula>"Moderado"</formula>
    </cfRule>
    <cfRule type="cellIs" dxfId="384" priority="140" operator="equal">
      <formula>"Bajo"</formula>
    </cfRule>
  </conditionalFormatting>
  <conditionalFormatting sqref="N56">
    <cfRule type="cellIs" dxfId="383" priority="351" operator="equal">
      <formula>"Extremo"</formula>
    </cfRule>
    <cfRule type="cellIs" dxfId="382" priority="353" operator="equal">
      <formula>"Moderado"</formula>
    </cfRule>
    <cfRule type="cellIs" dxfId="381" priority="354" operator="equal">
      <formula>"Bajo"</formula>
    </cfRule>
    <cfRule type="cellIs" dxfId="380" priority="352" operator="equal">
      <formula>"Alto"</formula>
    </cfRule>
  </conditionalFormatting>
  <conditionalFormatting sqref="N60:N61">
    <cfRule type="cellIs" dxfId="379" priority="327" operator="equal">
      <formula>"Extremo"</formula>
    </cfRule>
    <cfRule type="cellIs" dxfId="378" priority="328" operator="equal">
      <formula>"Alto"</formula>
    </cfRule>
    <cfRule type="cellIs" dxfId="377" priority="330" operator="equal">
      <formula>"Bajo"</formula>
    </cfRule>
    <cfRule type="cellIs" dxfId="376" priority="329" operator="equal">
      <formula>"Moderado"</formula>
    </cfRule>
  </conditionalFormatting>
  <conditionalFormatting sqref="N64">
    <cfRule type="cellIs" dxfId="375" priority="312" operator="equal">
      <formula>"Bajo"</formula>
    </cfRule>
    <cfRule type="cellIs" dxfId="374" priority="311" operator="equal">
      <formula>"Moderado"</formula>
    </cfRule>
    <cfRule type="cellIs" dxfId="373" priority="309" operator="equal">
      <formula>"Extremo"</formula>
    </cfRule>
    <cfRule type="cellIs" dxfId="372" priority="310" operator="equal">
      <formula>"Alto"</formula>
    </cfRule>
  </conditionalFormatting>
  <conditionalFormatting sqref="N67">
    <cfRule type="cellIs" dxfId="371" priority="302" operator="equal">
      <formula>"Alto"</formula>
    </cfRule>
    <cfRule type="cellIs" dxfId="370" priority="303" operator="equal">
      <formula>"Moderado"</formula>
    </cfRule>
    <cfRule type="cellIs" dxfId="369" priority="301" operator="equal">
      <formula>"Extremo"</formula>
    </cfRule>
    <cfRule type="cellIs" dxfId="368" priority="304" operator="equal">
      <formula>"Bajo"</formula>
    </cfRule>
  </conditionalFormatting>
  <conditionalFormatting sqref="N73">
    <cfRule type="cellIs" dxfId="367" priority="63" operator="equal">
      <formula>"Extremo"</formula>
    </cfRule>
    <cfRule type="cellIs" dxfId="366" priority="65" operator="equal">
      <formula>"Moderado"</formula>
    </cfRule>
    <cfRule type="cellIs" dxfId="365" priority="66" operator="equal">
      <formula>"Bajo"</formula>
    </cfRule>
    <cfRule type="cellIs" dxfId="364" priority="64" operator="equal">
      <formula>"Alto"</formula>
    </cfRule>
  </conditionalFormatting>
  <conditionalFormatting sqref="N76">
    <cfRule type="cellIs" dxfId="363" priority="35" operator="equal">
      <formula>"Extremo"</formula>
    </cfRule>
    <cfRule type="cellIs" dxfId="362" priority="38" operator="equal">
      <formula>"Bajo"</formula>
    </cfRule>
    <cfRule type="cellIs" dxfId="361" priority="37" operator="equal">
      <formula>"Moderado"</formula>
    </cfRule>
    <cfRule type="cellIs" dxfId="360" priority="36" operator="equal">
      <formula>"Alto"</formula>
    </cfRule>
  </conditionalFormatting>
  <conditionalFormatting sqref="N84">
    <cfRule type="cellIs" dxfId="359" priority="428" operator="equal">
      <formula>"Bajo"</formula>
    </cfRule>
    <cfRule type="cellIs" dxfId="358" priority="427" operator="equal">
      <formula>"Moderado"</formula>
    </cfRule>
    <cfRule type="cellIs" dxfId="357" priority="426" operator="equal">
      <formula>"Alto"</formula>
    </cfRule>
    <cfRule type="cellIs" dxfId="356" priority="425" operator="equal">
      <formula>"Extremo"</formula>
    </cfRule>
  </conditionalFormatting>
  <conditionalFormatting sqref="N90">
    <cfRule type="cellIs" dxfId="355" priority="398" operator="equal">
      <formula>"Alto"</formula>
    </cfRule>
    <cfRule type="cellIs" dxfId="354" priority="400" operator="equal">
      <formula>"Bajo"</formula>
    </cfRule>
    <cfRule type="cellIs" dxfId="353" priority="399" operator="equal">
      <formula>"Moderado"</formula>
    </cfRule>
    <cfRule type="cellIs" dxfId="352" priority="397" operator="equal">
      <formula>"Extremo"</formula>
    </cfRule>
  </conditionalFormatting>
  <conditionalFormatting sqref="N92">
    <cfRule type="cellIs" dxfId="351" priority="371" operator="equal">
      <formula>"Moderado"</formula>
    </cfRule>
    <cfRule type="cellIs" dxfId="350" priority="369" operator="equal">
      <formula>"Extremo"</formula>
    </cfRule>
    <cfRule type="cellIs" dxfId="349" priority="372" operator="equal">
      <formula>"Bajo"</formula>
    </cfRule>
    <cfRule type="cellIs" dxfId="348" priority="370" operator="equal">
      <formula>"Alto"</formula>
    </cfRule>
  </conditionalFormatting>
  <conditionalFormatting sqref="N94 N97 N100 N103 N105">
    <cfRule type="cellIs" dxfId="347" priority="109" operator="equal">
      <formula>"Extremo"</formula>
    </cfRule>
    <cfRule type="cellIs" dxfId="346" priority="110" operator="equal">
      <formula>"Alto"</formula>
    </cfRule>
    <cfRule type="cellIs" dxfId="345" priority="112" operator="equal">
      <formula>"Bajo"</formula>
    </cfRule>
    <cfRule type="cellIs" dxfId="344" priority="111" operator="equal">
      <formula>"Moderado"</formula>
    </cfRule>
  </conditionalFormatting>
  <conditionalFormatting sqref="N107">
    <cfRule type="cellIs" dxfId="343" priority="81" operator="equal">
      <formula>"Extremo"</formula>
    </cfRule>
    <cfRule type="cellIs" dxfId="342" priority="82" operator="equal">
      <formula>"Alto"</formula>
    </cfRule>
    <cfRule type="cellIs" dxfId="341" priority="84" operator="equal">
      <formula>"Bajo"</formula>
    </cfRule>
    <cfRule type="cellIs" dxfId="340" priority="83" operator="equal">
      <formula>"Moderado"</formula>
    </cfRule>
  </conditionalFormatting>
  <conditionalFormatting sqref="Z15:Z109">
    <cfRule type="cellIs" dxfId="339" priority="10" operator="equal">
      <formula>"Muy Baja"</formula>
    </cfRule>
    <cfRule type="cellIs" dxfId="338" priority="9" operator="equal">
      <formula>"Baja"</formula>
    </cfRule>
    <cfRule type="cellIs" dxfId="337" priority="8" operator="equal">
      <formula>"Media"</formula>
    </cfRule>
    <cfRule type="cellIs" dxfId="336" priority="6" operator="equal">
      <formula>"Muy Alta"</formula>
    </cfRule>
    <cfRule type="cellIs" dxfId="335" priority="7" operator="equal">
      <formula>"Alta"</formula>
    </cfRule>
  </conditionalFormatting>
  <conditionalFormatting sqref="AB15:AB109">
    <cfRule type="cellIs" dxfId="334" priority="2" operator="equal">
      <formula>"Mayor"</formula>
    </cfRule>
    <cfRule type="cellIs" dxfId="333" priority="3" operator="equal">
      <formula>"Moderado"</formula>
    </cfRule>
    <cfRule type="cellIs" dxfId="332" priority="4" operator="equal">
      <formula>"Menor"</formula>
    </cfRule>
    <cfRule type="cellIs" dxfId="331" priority="5" operator="equal">
      <formula>"Leve"</formula>
    </cfRule>
    <cfRule type="cellIs" dxfId="330" priority="1" operator="equal">
      <formula>"Catastrófico"</formula>
    </cfRule>
  </conditionalFormatting>
  <conditionalFormatting sqref="AD15">
    <cfRule type="cellIs" dxfId="329" priority="501" operator="equal">
      <formula>"Alta"</formula>
    </cfRule>
    <cfRule type="cellIs" dxfId="328" priority="500" operator="equal">
      <formula>"Muy Alta"</formula>
    </cfRule>
    <cfRule type="cellIs" dxfId="327" priority="504" operator="equal">
      <formula>"Muy Baja"</formula>
    </cfRule>
    <cfRule type="cellIs" dxfId="326" priority="503" operator="equal">
      <formula>"Baja"</formula>
    </cfRule>
    <cfRule type="cellIs" dxfId="325" priority="502" operator="equal">
      <formula>"Media"</formula>
    </cfRule>
  </conditionalFormatting>
  <conditionalFormatting sqref="AD17:AD18">
    <cfRule type="cellIs" dxfId="324" priority="490" operator="equal">
      <formula>"Muy Baja"</formula>
    </cfRule>
    <cfRule type="cellIs" dxfId="323" priority="487" operator="equal">
      <formula>"Alta"</formula>
    </cfRule>
    <cfRule type="cellIs" dxfId="322" priority="486" operator="equal">
      <formula>"Muy Alta"</formula>
    </cfRule>
    <cfRule type="cellIs" dxfId="321" priority="488" operator="equal">
      <formula>"Media"</formula>
    </cfRule>
    <cfRule type="cellIs" dxfId="320" priority="489" operator="equal">
      <formula>"Baja"</formula>
    </cfRule>
  </conditionalFormatting>
  <conditionalFormatting sqref="AD20:AD21">
    <cfRule type="cellIs" dxfId="319" priority="472" operator="equal">
      <formula>"Muy Alta"</formula>
    </cfRule>
    <cfRule type="cellIs" dxfId="318" priority="473" operator="equal">
      <formula>"Alta"</formula>
    </cfRule>
    <cfRule type="cellIs" dxfId="317" priority="475" operator="equal">
      <formula>"Baja"</formula>
    </cfRule>
    <cfRule type="cellIs" dxfId="316" priority="474" operator="equal">
      <formula>"Media"</formula>
    </cfRule>
    <cfRule type="cellIs" dxfId="315" priority="476" operator="equal">
      <formula>"Muy Baja"</formula>
    </cfRule>
  </conditionalFormatting>
  <conditionalFormatting sqref="AD26">
    <cfRule type="cellIs" dxfId="314" priority="217" operator="equal">
      <formula>"Alta"</formula>
    </cfRule>
    <cfRule type="cellIs" dxfId="313" priority="218" operator="equal">
      <formula>"Media"</formula>
    </cfRule>
    <cfRule type="cellIs" dxfId="312" priority="220" operator="equal">
      <formula>"Muy Baja"</formula>
    </cfRule>
    <cfRule type="cellIs" dxfId="311" priority="216" operator="equal">
      <formula>"Muy Alta"</formula>
    </cfRule>
    <cfRule type="cellIs" dxfId="310" priority="219" operator="equal">
      <formula>"Baja"</formula>
    </cfRule>
  </conditionalFormatting>
  <conditionalFormatting sqref="AD30">
    <cfRule type="cellIs" dxfId="309" priority="205" operator="equal">
      <formula>"Baja"</formula>
    </cfRule>
    <cfRule type="cellIs" dxfId="308" priority="206" operator="equal">
      <formula>"Muy Baja"</formula>
    </cfRule>
    <cfRule type="cellIs" dxfId="307" priority="202" operator="equal">
      <formula>"Muy Alta"</formula>
    </cfRule>
    <cfRule type="cellIs" dxfId="306" priority="204" operator="equal">
      <formula>"Media"</formula>
    </cfRule>
    <cfRule type="cellIs" dxfId="305" priority="203" operator="equal">
      <formula>"Alta"</formula>
    </cfRule>
  </conditionalFormatting>
  <conditionalFormatting sqref="AD33">
    <cfRule type="cellIs" dxfId="304" priority="188" operator="equal">
      <formula>"Muy Alta"</formula>
    </cfRule>
    <cfRule type="cellIs" dxfId="303" priority="189" operator="equal">
      <formula>"Alta"</formula>
    </cfRule>
    <cfRule type="cellIs" dxfId="302" priority="192" operator="equal">
      <formula>"Muy Baja"</formula>
    </cfRule>
    <cfRule type="cellIs" dxfId="301" priority="191" operator="equal">
      <formula>"Baja"</formula>
    </cfRule>
    <cfRule type="cellIs" dxfId="300" priority="190" operator="equal">
      <formula>"Media"</formula>
    </cfRule>
  </conditionalFormatting>
  <conditionalFormatting sqref="AD35">
    <cfRule type="cellIs" dxfId="299" priority="158" operator="equal">
      <formula>"Media"</formula>
    </cfRule>
    <cfRule type="cellIs" dxfId="298" priority="156" operator="equal">
      <formula>"Muy Alta"</formula>
    </cfRule>
    <cfRule type="cellIs" dxfId="297" priority="159" operator="equal">
      <formula>"Baja"</formula>
    </cfRule>
    <cfRule type="cellIs" dxfId="296" priority="160" operator="equal">
      <formula>"Muy Baja"</formula>
    </cfRule>
    <cfRule type="cellIs" dxfId="295" priority="157" operator="equal">
      <formula>"Alta"</formula>
    </cfRule>
  </conditionalFormatting>
  <conditionalFormatting sqref="AD44">
    <cfRule type="cellIs" dxfId="294" priority="133" operator="equal">
      <formula>"Alta"</formula>
    </cfRule>
    <cfRule type="cellIs" dxfId="293" priority="135" operator="equal">
      <formula>"Baja"</formula>
    </cfRule>
    <cfRule type="cellIs" dxfId="292" priority="136" operator="equal">
      <formula>"Muy Baja"</formula>
    </cfRule>
    <cfRule type="cellIs" dxfId="291" priority="134" operator="equal">
      <formula>"Media"</formula>
    </cfRule>
    <cfRule type="cellIs" dxfId="290" priority="132" operator="equal">
      <formula>"Muy Alta"</formula>
    </cfRule>
  </conditionalFormatting>
  <conditionalFormatting sqref="AD50">
    <cfRule type="cellIs" dxfId="289" priority="460" operator="equal">
      <formula>"Media"</formula>
    </cfRule>
    <cfRule type="cellIs" dxfId="288" priority="459" operator="equal">
      <formula>"Alta"</formula>
    </cfRule>
    <cfRule type="cellIs" dxfId="287" priority="458" operator="equal">
      <formula>"Muy Alta"</formula>
    </cfRule>
    <cfRule type="cellIs" dxfId="286" priority="461" operator="equal">
      <formula>"Baja"</formula>
    </cfRule>
    <cfRule type="cellIs" dxfId="285" priority="462" operator="equal">
      <formula>"Muy Baja"</formula>
    </cfRule>
  </conditionalFormatting>
  <conditionalFormatting sqref="AD56">
    <cfRule type="cellIs" dxfId="284" priority="273" operator="equal">
      <formula>"Alta"</formula>
    </cfRule>
    <cfRule type="cellIs" dxfId="283" priority="272" operator="equal">
      <formula>"Muy Alta"</formula>
    </cfRule>
    <cfRule type="cellIs" dxfId="282" priority="274" operator="equal">
      <formula>"Media"</formula>
    </cfRule>
    <cfRule type="cellIs" dxfId="281" priority="276" operator="equal">
      <formula>"Muy Baja"</formula>
    </cfRule>
    <cfRule type="cellIs" dxfId="280" priority="275" operator="equal">
      <formula>"Baja"</formula>
    </cfRule>
  </conditionalFormatting>
  <conditionalFormatting sqref="AD60:AD61 AD64">
    <cfRule type="cellIs" dxfId="279" priority="323" operator="equal">
      <formula>"Alta"</formula>
    </cfRule>
    <cfRule type="cellIs" dxfId="278" priority="322" operator="equal">
      <formula>"Muy Alta"</formula>
    </cfRule>
    <cfRule type="cellIs" dxfId="277" priority="326" operator="equal">
      <formula>"Muy Baja"</formula>
    </cfRule>
    <cfRule type="cellIs" dxfId="276" priority="325" operator="equal">
      <formula>"Baja"</formula>
    </cfRule>
    <cfRule type="cellIs" dxfId="275" priority="324" operator="equal">
      <formula>"Media"</formula>
    </cfRule>
  </conditionalFormatting>
  <conditionalFormatting sqref="AD67">
    <cfRule type="cellIs" dxfId="274" priority="299" operator="equal">
      <formula>"Baja"</formula>
    </cfRule>
    <cfRule type="cellIs" dxfId="273" priority="300" operator="equal">
      <formula>"Muy Baja"</formula>
    </cfRule>
    <cfRule type="cellIs" dxfId="272" priority="296" operator="equal">
      <formula>"Muy Alta"</formula>
    </cfRule>
    <cfRule type="cellIs" dxfId="271" priority="297" operator="equal">
      <formula>"Alta"</formula>
    </cfRule>
    <cfRule type="cellIs" dxfId="270" priority="298" operator="equal">
      <formula>"Media"</formula>
    </cfRule>
  </conditionalFormatting>
  <conditionalFormatting sqref="AD73">
    <cfRule type="cellIs" dxfId="269" priority="60" operator="equal">
      <formula>"Media"</formula>
    </cfRule>
    <cfRule type="cellIs" dxfId="268" priority="58" operator="equal">
      <formula>"Muy Alta"</formula>
    </cfRule>
    <cfRule type="cellIs" dxfId="267" priority="62" operator="equal">
      <formula>"Muy Baja"</formula>
    </cfRule>
    <cfRule type="cellIs" dxfId="266" priority="61" operator="equal">
      <formula>"Baja"</formula>
    </cfRule>
    <cfRule type="cellIs" dxfId="265" priority="59" operator="equal">
      <formula>"Alta"</formula>
    </cfRule>
  </conditionalFormatting>
  <conditionalFormatting sqref="AD76">
    <cfRule type="cellIs" dxfId="264" priority="34" operator="equal">
      <formula>"Muy Baja"</formula>
    </cfRule>
    <cfRule type="cellIs" dxfId="263" priority="33" operator="equal">
      <formula>"Baja"</formula>
    </cfRule>
    <cfRule type="cellIs" dxfId="262" priority="32" operator="equal">
      <formula>"Media"</formula>
    </cfRule>
    <cfRule type="cellIs" dxfId="261" priority="30" operator="equal">
      <formula>"Muy Alta"</formula>
    </cfRule>
    <cfRule type="cellIs" dxfId="260" priority="31" operator="equal">
      <formula>"Alta"</formula>
    </cfRule>
  </conditionalFormatting>
  <conditionalFormatting sqref="AD79">
    <cfRule type="cellIs" dxfId="259" priority="444" operator="equal">
      <formula>"Muy Alta"</formula>
    </cfRule>
    <cfRule type="cellIs" dxfId="258" priority="447" operator="equal">
      <formula>"Baja"</formula>
    </cfRule>
    <cfRule type="cellIs" dxfId="257" priority="448" operator="equal">
      <formula>"Muy Baja"</formula>
    </cfRule>
    <cfRule type="cellIs" dxfId="256" priority="446" operator="equal">
      <formula>"Media"</formula>
    </cfRule>
    <cfRule type="cellIs" dxfId="255" priority="445" operator="equal">
      <formula>"Alta"</formula>
    </cfRule>
  </conditionalFormatting>
  <conditionalFormatting sqref="AD84">
    <cfRule type="cellIs" dxfId="254" priority="419" operator="equal">
      <formula>"Baja"</formula>
    </cfRule>
    <cfRule type="cellIs" dxfId="253" priority="420" operator="equal">
      <formula>"Muy Baja"</formula>
    </cfRule>
    <cfRule type="cellIs" dxfId="252" priority="416" operator="equal">
      <formula>"Muy Alta"</formula>
    </cfRule>
    <cfRule type="cellIs" dxfId="251" priority="417" operator="equal">
      <formula>"Alta"</formula>
    </cfRule>
    <cfRule type="cellIs" dxfId="250" priority="418" operator="equal">
      <formula>"Media"</formula>
    </cfRule>
  </conditionalFormatting>
  <conditionalFormatting sqref="AD90">
    <cfRule type="cellIs" dxfId="249" priority="392" operator="equal">
      <formula>"Muy Baja"</formula>
    </cfRule>
    <cfRule type="cellIs" dxfId="248" priority="388" operator="equal">
      <formula>"Muy Alta"</formula>
    </cfRule>
    <cfRule type="cellIs" dxfId="247" priority="389" operator="equal">
      <formula>"Alta"</formula>
    </cfRule>
    <cfRule type="cellIs" dxfId="246" priority="390" operator="equal">
      <formula>"Media"</formula>
    </cfRule>
    <cfRule type="cellIs" dxfId="245" priority="391" operator="equal">
      <formula>"Baja"</formula>
    </cfRule>
  </conditionalFormatting>
  <conditionalFormatting sqref="AD92">
    <cfRule type="cellIs" dxfId="244" priority="361" operator="equal">
      <formula>"Alta"</formula>
    </cfRule>
    <cfRule type="cellIs" dxfId="243" priority="362" operator="equal">
      <formula>"Media"</formula>
    </cfRule>
    <cfRule type="cellIs" dxfId="242" priority="363" operator="equal">
      <formula>"Baja"</formula>
    </cfRule>
    <cfRule type="cellIs" dxfId="241" priority="360" operator="equal">
      <formula>"Muy Alta"</formula>
    </cfRule>
    <cfRule type="cellIs" dxfId="240" priority="364" operator="equal">
      <formula>"Muy Baja"</formula>
    </cfRule>
  </conditionalFormatting>
  <conditionalFormatting sqref="AD94 AD97 AD100 AD103 AD105">
    <cfRule type="cellIs" dxfId="239" priority="108" operator="equal">
      <formula>"Muy Baja"</formula>
    </cfRule>
    <cfRule type="cellIs" dxfId="238" priority="104" operator="equal">
      <formula>"Muy Alta"</formula>
    </cfRule>
    <cfRule type="cellIs" dxfId="237" priority="105" operator="equal">
      <formula>"Alta"</formula>
    </cfRule>
    <cfRule type="cellIs" dxfId="236" priority="106" operator="equal">
      <formula>"Media"</formula>
    </cfRule>
    <cfRule type="cellIs" dxfId="235" priority="107" operator="equal">
      <formula>"Baja"</formula>
    </cfRule>
  </conditionalFormatting>
  <conditionalFormatting sqref="AD107">
    <cfRule type="cellIs" dxfId="234" priority="76" operator="equal">
      <formula>"Muy Alta"</formula>
    </cfRule>
    <cfRule type="cellIs" dxfId="233" priority="80" operator="equal">
      <formula>"Muy Baja"</formula>
    </cfRule>
    <cfRule type="cellIs" dxfId="232" priority="79" operator="equal">
      <formula>"Baja"</formula>
    </cfRule>
    <cfRule type="cellIs" dxfId="231" priority="78" operator="equal">
      <formula>"Media"</formula>
    </cfRule>
    <cfRule type="cellIs" dxfId="230" priority="77" operator="equal">
      <formula>"Alta"</formula>
    </cfRule>
  </conditionalFormatting>
  <conditionalFormatting sqref="AF15">
    <cfRule type="cellIs" dxfId="229" priority="497" operator="equal">
      <formula>"Moderado"</formula>
    </cfRule>
    <cfRule type="cellIs" dxfId="228" priority="496" operator="equal">
      <formula>"Mayor"</formula>
    </cfRule>
    <cfRule type="cellIs" dxfId="227" priority="495" operator="equal">
      <formula>"Catastrófico"</formula>
    </cfRule>
    <cfRule type="cellIs" dxfId="226" priority="498" operator="equal">
      <formula>"Menor"</formula>
    </cfRule>
    <cfRule type="cellIs" dxfId="225" priority="499" operator="equal">
      <formula>"Leve"</formula>
    </cfRule>
  </conditionalFormatting>
  <conditionalFormatting sqref="AF17:AF18">
    <cfRule type="cellIs" dxfId="224" priority="483" operator="equal">
      <formula>"Moderado"</formula>
    </cfRule>
    <cfRule type="cellIs" dxfId="223" priority="481" operator="equal">
      <formula>"Catastrófico"</formula>
    </cfRule>
    <cfRule type="cellIs" dxfId="222" priority="482" operator="equal">
      <formula>"Mayor"</formula>
    </cfRule>
    <cfRule type="cellIs" dxfId="221" priority="485" operator="equal">
      <formula>"Leve"</formula>
    </cfRule>
    <cfRule type="cellIs" dxfId="220" priority="484" operator="equal">
      <formula>"Menor"</formula>
    </cfRule>
  </conditionalFormatting>
  <conditionalFormatting sqref="AF20:AF21">
    <cfRule type="cellIs" dxfId="219" priority="471" operator="equal">
      <formula>"Leve"</formula>
    </cfRule>
    <cfRule type="cellIs" dxfId="218" priority="470" operator="equal">
      <formula>"Menor"</formula>
    </cfRule>
    <cfRule type="cellIs" dxfId="217" priority="469" operator="equal">
      <formula>"Moderado"</formula>
    </cfRule>
    <cfRule type="cellIs" dxfId="216" priority="468" operator="equal">
      <formula>"Mayor"</formula>
    </cfRule>
    <cfRule type="cellIs" dxfId="215" priority="467" operator="equal">
      <formula>"Catastrófico"</formula>
    </cfRule>
  </conditionalFormatting>
  <conditionalFormatting sqref="AF26">
    <cfRule type="cellIs" dxfId="214" priority="213" operator="equal">
      <formula>"Moderado"</formula>
    </cfRule>
    <cfRule type="cellIs" dxfId="213" priority="211" operator="equal">
      <formula>"Catastrófico"</formula>
    </cfRule>
    <cfRule type="cellIs" dxfId="212" priority="215" operator="equal">
      <formula>"Leve"</formula>
    </cfRule>
    <cfRule type="cellIs" dxfId="211" priority="214" operator="equal">
      <formula>"Menor"</formula>
    </cfRule>
    <cfRule type="cellIs" dxfId="210" priority="212" operator="equal">
      <formula>"Mayor"</formula>
    </cfRule>
  </conditionalFormatting>
  <conditionalFormatting sqref="AF30">
    <cfRule type="cellIs" dxfId="209" priority="197" operator="equal">
      <formula>"Catastrófico"</formula>
    </cfRule>
    <cfRule type="cellIs" dxfId="208" priority="201" operator="equal">
      <formula>"Leve"</formula>
    </cfRule>
    <cfRule type="cellIs" dxfId="207" priority="200" operator="equal">
      <formula>"Menor"</formula>
    </cfRule>
    <cfRule type="cellIs" dxfId="206" priority="198" operator="equal">
      <formula>"Mayor"</formula>
    </cfRule>
    <cfRule type="cellIs" dxfId="205" priority="199" operator="equal">
      <formula>"Moderado"</formula>
    </cfRule>
  </conditionalFormatting>
  <conditionalFormatting sqref="AF33">
    <cfRule type="cellIs" dxfId="204" priority="184" operator="equal">
      <formula>"Mayor"</formula>
    </cfRule>
    <cfRule type="cellIs" dxfId="203" priority="187" operator="equal">
      <formula>"Leve"</formula>
    </cfRule>
    <cfRule type="cellIs" dxfId="202" priority="183" operator="equal">
      <formula>"Catastrófico"</formula>
    </cfRule>
    <cfRule type="cellIs" dxfId="201" priority="186" operator="equal">
      <formula>"Menor"</formula>
    </cfRule>
    <cfRule type="cellIs" dxfId="200" priority="185" operator="equal">
      <formula>"Moderado"</formula>
    </cfRule>
  </conditionalFormatting>
  <conditionalFormatting sqref="AF35">
    <cfRule type="cellIs" dxfId="199" priority="155" operator="equal">
      <formula>"Leve"</formula>
    </cfRule>
    <cfRule type="cellIs" dxfId="198" priority="152" operator="equal">
      <formula>"Mayor"</formula>
    </cfRule>
    <cfRule type="cellIs" dxfId="197" priority="151" operator="equal">
      <formula>"Catastrófico"</formula>
    </cfRule>
    <cfRule type="cellIs" dxfId="196" priority="153" operator="equal">
      <formula>"Moderado"</formula>
    </cfRule>
    <cfRule type="cellIs" dxfId="195" priority="154" operator="equal">
      <formula>"Menor"</formula>
    </cfRule>
  </conditionalFormatting>
  <conditionalFormatting sqref="AF44">
    <cfRule type="cellIs" dxfId="194" priority="129" operator="equal">
      <formula>"Moderado"</formula>
    </cfRule>
    <cfRule type="cellIs" dxfId="193" priority="128" operator="equal">
      <formula>"Mayor"</formula>
    </cfRule>
    <cfRule type="cellIs" dxfId="192" priority="127" operator="equal">
      <formula>"Catastrófico"</formula>
    </cfRule>
    <cfRule type="cellIs" dxfId="191" priority="131" operator="equal">
      <formula>"Leve"</formula>
    </cfRule>
    <cfRule type="cellIs" dxfId="190" priority="130" operator="equal">
      <formula>"Menor"</formula>
    </cfRule>
  </conditionalFormatting>
  <conditionalFormatting sqref="AF50">
    <cfRule type="cellIs" dxfId="189" priority="454" operator="equal">
      <formula>"Mayor"</formula>
    </cfRule>
    <cfRule type="cellIs" dxfId="188" priority="453" operator="equal">
      <formula>"Catastrófico"</formula>
    </cfRule>
    <cfRule type="cellIs" dxfId="187" priority="456" operator="equal">
      <formula>"Menor"</formula>
    </cfRule>
    <cfRule type="cellIs" dxfId="186" priority="455" operator="equal">
      <formula>"Moderado"</formula>
    </cfRule>
    <cfRule type="cellIs" dxfId="185" priority="457" operator="equal">
      <formula>"Leve"</formula>
    </cfRule>
  </conditionalFormatting>
  <conditionalFormatting sqref="AF56">
    <cfRule type="cellIs" dxfId="184" priority="267" operator="equal">
      <formula>"Catastrófico"</formula>
    </cfRule>
    <cfRule type="cellIs" dxfId="183" priority="268" operator="equal">
      <formula>"Mayor"</formula>
    </cfRule>
    <cfRule type="cellIs" dxfId="182" priority="269" operator="equal">
      <formula>"Moderado"</formula>
    </cfRule>
    <cfRule type="cellIs" dxfId="181" priority="270" operator="equal">
      <formula>"Menor"</formula>
    </cfRule>
    <cfRule type="cellIs" dxfId="180" priority="271" operator="equal">
      <formula>"Leve"</formula>
    </cfRule>
  </conditionalFormatting>
  <conditionalFormatting sqref="AF60:AF61 AF64">
    <cfRule type="cellIs" dxfId="179" priority="321" operator="equal">
      <formula>"Leve"</formula>
    </cfRule>
    <cfRule type="cellIs" dxfId="178" priority="318" operator="equal">
      <formula>"Mayor"</formula>
    </cfRule>
    <cfRule type="cellIs" dxfId="177" priority="317" operator="equal">
      <formula>"Catastrófico"</formula>
    </cfRule>
    <cfRule type="cellIs" dxfId="176" priority="319" operator="equal">
      <formula>"Moderado"</formula>
    </cfRule>
    <cfRule type="cellIs" dxfId="175" priority="320" operator="equal">
      <formula>"Menor"</formula>
    </cfRule>
  </conditionalFormatting>
  <conditionalFormatting sqref="AF67">
    <cfRule type="cellIs" dxfId="174" priority="293" operator="equal">
      <formula>"Moderado"</formula>
    </cfRule>
    <cfRule type="cellIs" dxfId="173" priority="295" operator="equal">
      <formula>"Leve"</formula>
    </cfRule>
    <cfRule type="cellIs" dxfId="172" priority="294" operator="equal">
      <formula>"Menor"</formula>
    </cfRule>
    <cfRule type="cellIs" dxfId="171" priority="292" operator="equal">
      <formula>"Mayor"</formula>
    </cfRule>
    <cfRule type="cellIs" dxfId="170" priority="291" operator="equal">
      <formula>"Catastrófico"</formula>
    </cfRule>
  </conditionalFormatting>
  <conditionalFormatting sqref="AF73">
    <cfRule type="cellIs" dxfId="169" priority="53" operator="equal">
      <formula>"Catastrófico"</formula>
    </cfRule>
    <cfRule type="cellIs" dxfId="168" priority="54" operator="equal">
      <formula>"Mayor"</formula>
    </cfRule>
    <cfRule type="cellIs" dxfId="167" priority="55" operator="equal">
      <formula>"Moderado"</formula>
    </cfRule>
    <cfRule type="cellIs" dxfId="166" priority="56" operator="equal">
      <formula>"Menor"</formula>
    </cfRule>
    <cfRule type="cellIs" dxfId="165" priority="57" operator="equal">
      <formula>"Leve"</formula>
    </cfRule>
  </conditionalFormatting>
  <conditionalFormatting sqref="AF76">
    <cfRule type="cellIs" dxfId="164" priority="25" operator="equal">
      <formula>"Catastrófico"</formula>
    </cfRule>
    <cfRule type="cellIs" dxfId="163" priority="26" operator="equal">
      <formula>"Mayor"</formula>
    </cfRule>
    <cfRule type="cellIs" dxfId="162" priority="27" operator="equal">
      <formula>"Moderado"</formula>
    </cfRule>
    <cfRule type="cellIs" dxfId="161" priority="28" operator="equal">
      <formula>"Menor"</formula>
    </cfRule>
    <cfRule type="cellIs" dxfId="160" priority="29" operator="equal">
      <formula>"Leve"</formula>
    </cfRule>
  </conditionalFormatting>
  <conditionalFormatting sqref="AF79">
    <cfRule type="cellIs" dxfId="159" priority="443" operator="equal">
      <formula>"Leve"</formula>
    </cfRule>
    <cfRule type="cellIs" dxfId="158" priority="442" operator="equal">
      <formula>"Menor"</formula>
    </cfRule>
    <cfRule type="cellIs" dxfId="157" priority="441" operator="equal">
      <formula>"Moderado"</formula>
    </cfRule>
    <cfRule type="cellIs" dxfId="156" priority="440" operator="equal">
      <formula>"Mayor"</formula>
    </cfRule>
    <cfRule type="cellIs" dxfId="155" priority="439" operator="equal">
      <formula>"Catastrófico"</formula>
    </cfRule>
  </conditionalFormatting>
  <conditionalFormatting sqref="AF84">
    <cfRule type="cellIs" dxfId="154" priority="414" operator="equal">
      <formula>"Menor"</formula>
    </cfRule>
    <cfRule type="cellIs" dxfId="153" priority="415" operator="equal">
      <formula>"Leve"</formula>
    </cfRule>
    <cfRule type="cellIs" dxfId="152" priority="411" operator="equal">
      <formula>"Catastrófico"</formula>
    </cfRule>
    <cfRule type="cellIs" dxfId="151" priority="412" operator="equal">
      <formula>"Mayor"</formula>
    </cfRule>
    <cfRule type="cellIs" dxfId="150" priority="413" operator="equal">
      <formula>"Moderado"</formula>
    </cfRule>
  </conditionalFormatting>
  <conditionalFormatting sqref="AF90">
    <cfRule type="cellIs" dxfId="149" priority="383" operator="equal">
      <formula>"Catastrófico"</formula>
    </cfRule>
    <cfRule type="cellIs" dxfId="148" priority="387" operator="equal">
      <formula>"Leve"</formula>
    </cfRule>
    <cfRule type="cellIs" dxfId="147" priority="384" operator="equal">
      <formula>"Mayor"</formula>
    </cfRule>
    <cfRule type="cellIs" dxfId="146" priority="385" operator="equal">
      <formula>"Moderado"</formula>
    </cfRule>
    <cfRule type="cellIs" dxfId="145" priority="386" operator="equal">
      <formula>"Menor"</formula>
    </cfRule>
  </conditionalFormatting>
  <conditionalFormatting sqref="AF92">
    <cfRule type="cellIs" dxfId="144" priority="358" operator="equal">
      <formula>"Menor"</formula>
    </cfRule>
    <cfRule type="cellIs" dxfId="143" priority="359" operator="equal">
      <formula>"Leve"</formula>
    </cfRule>
    <cfRule type="cellIs" dxfId="142" priority="357" operator="equal">
      <formula>"Moderado"</formula>
    </cfRule>
    <cfRule type="cellIs" dxfId="141" priority="356" operator="equal">
      <formula>"Mayor"</formula>
    </cfRule>
    <cfRule type="cellIs" dxfId="140" priority="355" operator="equal">
      <formula>"Catastrófico"</formula>
    </cfRule>
  </conditionalFormatting>
  <conditionalFormatting sqref="AF94 AF97 AF100 AF103 AF105">
    <cfRule type="cellIs" dxfId="139" priority="101" operator="equal">
      <formula>"Moderado"</formula>
    </cfRule>
    <cfRule type="cellIs" dxfId="138" priority="102" operator="equal">
      <formula>"Menor"</formula>
    </cfRule>
    <cfRule type="cellIs" dxfId="137" priority="103" operator="equal">
      <formula>"Leve"</formula>
    </cfRule>
    <cfRule type="cellIs" dxfId="136" priority="99" operator="equal">
      <formula>"Catastrófico"</formula>
    </cfRule>
    <cfRule type="cellIs" dxfId="135" priority="100" operator="equal">
      <formula>"Mayor"</formula>
    </cfRule>
  </conditionalFormatting>
  <conditionalFormatting sqref="AF107">
    <cfRule type="cellIs" dxfId="134" priority="75" operator="equal">
      <formula>"Leve"</formula>
    </cfRule>
    <cfRule type="cellIs" dxfId="133" priority="74" operator="equal">
      <formula>"Menor"</formula>
    </cfRule>
    <cfRule type="cellIs" dxfId="132" priority="73" operator="equal">
      <formula>"Moderado"</formula>
    </cfRule>
    <cfRule type="cellIs" dxfId="131" priority="72" operator="equal">
      <formula>"Mayor"</formula>
    </cfRule>
    <cfRule type="cellIs" dxfId="130" priority="71" operator="equal">
      <formula>"Catastrófico"</formula>
    </cfRule>
  </conditionalFormatting>
  <conditionalFormatting sqref="AH15">
    <cfRule type="cellIs" dxfId="129" priority="507" operator="equal">
      <formula>"Moderado"</formula>
    </cfRule>
    <cfRule type="cellIs" dxfId="128" priority="508" operator="equal">
      <formula>"Bajo"</formula>
    </cfRule>
    <cfRule type="cellIs" dxfId="127" priority="505" operator="equal">
      <formula>"Extremo"</formula>
    </cfRule>
    <cfRule type="cellIs" dxfId="126" priority="506" operator="equal">
      <formula>"Alto"</formula>
    </cfRule>
  </conditionalFormatting>
  <conditionalFormatting sqref="AH17:AH18">
    <cfRule type="cellIs" dxfId="125" priority="492" operator="equal">
      <formula>"Alto"</formula>
    </cfRule>
    <cfRule type="cellIs" dxfId="124" priority="491" operator="equal">
      <formula>"Extremo"</formula>
    </cfRule>
    <cfRule type="cellIs" dxfId="123" priority="493" operator="equal">
      <formula>"Moderado"</formula>
    </cfRule>
    <cfRule type="cellIs" dxfId="122" priority="494" operator="equal">
      <formula>"Bajo"</formula>
    </cfRule>
  </conditionalFormatting>
  <conditionalFormatting sqref="AH20:AH21">
    <cfRule type="cellIs" dxfId="121" priority="478" operator="equal">
      <formula>"Alto"</formula>
    </cfRule>
    <cfRule type="cellIs" dxfId="120" priority="477" operator="equal">
      <formula>"Extremo"</formula>
    </cfRule>
    <cfRule type="cellIs" dxfId="119" priority="479" operator="equal">
      <formula>"Moderado"</formula>
    </cfRule>
    <cfRule type="cellIs" dxfId="118" priority="480" operator="equal">
      <formula>"Bajo"</formula>
    </cfRule>
  </conditionalFormatting>
  <conditionalFormatting sqref="AH26">
    <cfRule type="cellIs" dxfId="117" priority="208" operator="equal">
      <formula>"Alto"</formula>
    </cfRule>
    <cfRule type="cellIs" dxfId="116" priority="209" operator="equal">
      <formula>"Moderado"</formula>
    </cfRule>
    <cfRule type="cellIs" dxfId="115" priority="210" operator="equal">
      <formula>"Bajo"</formula>
    </cfRule>
    <cfRule type="cellIs" dxfId="114" priority="207" operator="equal">
      <formula>"Extremo"</formula>
    </cfRule>
  </conditionalFormatting>
  <conditionalFormatting sqref="AH30">
    <cfRule type="cellIs" dxfId="113" priority="196" operator="equal">
      <formula>"Bajo"</formula>
    </cfRule>
    <cfRule type="cellIs" dxfId="112" priority="195" operator="equal">
      <formula>"Moderado"</formula>
    </cfRule>
    <cfRule type="cellIs" dxfId="111" priority="193" operator="equal">
      <formula>"Extremo"</formula>
    </cfRule>
    <cfRule type="cellIs" dxfId="110" priority="194" operator="equal">
      <formula>"Alto"</formula>
    </cfRule>
  </conditionalFormatting>
  <conditionalFormatting sqref="AH33">
    <cfRule type="cellIs" dxfId="109" priority="179" operator="equal">
      <formula>"Extremo"</formula>
    </cfRule>
    <cfRule type="cellIs" dxfId="108" priority="180" operator="equal">
      <formula>"Alto"</formula>
    </cfRule>
    <cfRule type="cellIs" dxfId="107" priority="181" operator="equal">
      <formula>"Moderado"</formula>
    </cfRule>
    <cfRule type="cellIs" dxfId="106" priority="182" operator="equal">
      <formula>"Bajo"</formula>
    </cfRule>
  </conditionalFormatting>
  <conditionalFormatting sqref="AH35">
    <cfRule type="cellIs" dxfId="105" priority="161" operator="equal">
      <formula>"Extremo"</formula>
    </cfRule>
    <cfRule type="cellIs" dxfId="104" priority="162" operator="equal">
      <formula>"Alto"</formula>
    </cfRule>
    <cfRule type="cellIs" dxfId="103" priority="163" operator="equal">
      <formula>"Moderado"</formula>
    </cfRule>
    <cfRule type="cellIs" dxfId="102" priority="164" operator="equal">
      <formula>"Bajo"</formula>
    </cfRule>
  </conditionalFormatting>
  <conditionalFormatting sqref="AH44">
    <cfRule type="cellIs" dxfId="101" priority="125" operator="equal">
      <formula>"Moderado"</formula>
    </cfRule>
    <cfRule type="cellIs" dxfId="100" priority="126" operator="equal">
      <formula>"Bajo"</formula>
    </cfRule>
    <cfRule type="cellIs" dxfId="99" priority="123" operator="equal">
      <formula>"Extremo"</formula>
    </cfRule>
    <cfRule type="cellIs" dxfId="98" priority="124" operator="equal">
      <formula>"Alto"</formula>
    </cfRule>
  </conditionalFormatting>
  <conditionalFormatting sqref="AH50">
    <cfRule type="cellIs" dxfId="97" priority="463" operator="equal">
      <formula>"Extremo"</formula>
    </cfRule>
    <cfRule type="cellIs" dxfId="96" priority="464" operator="equal">
      <formula>"Alto"</formula>
    </cfRule>
    <cfRule type="cellIs" dxfId="95" priority="465" operator="equal">
      <formula>"Moderado"</formula>
    </cfRule>
    <cfRule type="cellIs" dxfId="94" priority="466" operator="equal">
      <formula>"Bajo"</formula>
    </cfRule>
  </conditionalFormatting>
  <conditionalFormatting sqref="AH56">
    <cfRule type="cellIs" dxfId="93" priority="278" operator="equal">
      <formula>"Alto"</formula>
    </cfRule>
    <cfRule type="cellIs" dxfId="92" priority="277" operator="equal">
      <formula>"Extremo"</formula>
    </cfRule>
    <cfRule type="cellIs" dxfId="91" priority="280" operator="equal">
      <formula>"Bajo"</formula>
    </cfRule>
    <cfRule type="cellIs" dxfId="90" priority="279" operator="equal">
      <formula>"Moderado"</formula>
    </cfRule>
  </conditionalFormatting>
  <conditionalFormatting sqref="AH60:AH61">
    <cfRule type="cellIs" dxfId="89" priority="315" operator="equal">
      <formula>"Moderado"</formula>
    </cfRule>
    <cfRule type="cellIs" dxfId="88" priority="316" operator="equal">
      <formula>"Bajo"</formula>
    </cfRule>
    <cfRule type="cellIs" dxfId="87" priority="314" operator="equal">
      <formula>"Alto"</formula>
    </cfRule>
    <cfRule type="cellIs" dxfId="86" priority="313" operator="equal">
      <formula>"Extremo"</formula>
    </cfRule>
  </conditionalFormatting>
  <conditionalFormatting sqref="AH64">
    <cfRule type="cellIs" dxfId="85" priority="308" operator="equal">
      <formula>"Bajo"</formula>
    </cfRule>
    <cfRule type="cellIs" dxfId="84" priority="305" operator="equal">
      <formula>"Extremo"</formula>
    </cfRule>
    <cfRule type="cellIs" dxfId="83" priority="306" operator="equal">
      <formula>"Alto"</formula>
    </cfRule>
    <cfRule type="cellIs" dxfId="82" priority="307" operator="equal">
      <formula>"Moderado"</formula>
    </cfRule>
  </conditionalFormatting>
  <conditionalFormatting sqref="AH67">
    <cfRule type="cellIs" dxfId="81" priority="266" operator="equal">
      <formula>"Bajo"</formula>
    </cfRule>
    <cfRule type="cellIs" dxfId="80" priority="263" operator="equal">
      <formula>"Extremo"</formula>
    </cfRule>
    <cfRule type="cellIs" dxfId="79" priority="264" operator="equal">
      <formula>"Alto"</formula>
    </cfRule>
    <cfRule type="cellIs" dxfId="78" priority="265" operator="equal">
      <formula>"Moderado"</formula>
    </cfRule>
  </conditionalFormatting>
  <conditionalFormatting sqref="AH73">
    <cfRule type="cellIs" dxfId="77" priority="39" operator="equal">
      <formula>"Extremo"</formula>
    </cfRule>
    <cfRule type="cellIs" dxfId="76" priority="40" operator="equal">
      <formula>"Alto"</formula>
    </cfRule>
    <cfRule type="cellIs" dxfId="75" priority="41" operator="equal">
      <formula>"Moderado"</formula>
    </cfRule>
    <cfRule type="cellIs" dxfId="74" priority="42" operator="equal">
      <formula>"Bajo"</formula>
    </cfRule>
  </conditionalFormatting>
  <conditionalFormatting sqref="AH76">
    <cfRule type="cellIs" dxfId="73" priority="14" operator="equal">
      <formula>"Bajo"</formula>
    </cfRule>
    <cfRule type="cellIs" dxfId="72" priority="13" operator="equal">
      <formula>"Moderado"</formula>
    </cfRule>
    <cfRule type="cellIs" dxfId="71" priority="12" operator="equal">
      <formula>"Alto"</formula>
    </cfRule>
    <cfRule type="cellIs" dxfId="70" priority="11" operator="equal">
      <formula>"Extremo"</formula>
    </cfRule>
  </conditionalFormatting>
  <conditionalFormatting sqref="AH79">
    <cfRule type="cellIs" dxfId="69" priority="450" operator="equal">
      <formula>"Alto"</formula>
    </cfRule>
    <cfRule type="cellIs" dxfId="68" priority="451" operator="equal">
      <formula>"Moderado"</formula>
    </cfRule>
    <cfRule type="cellIs" dxfId="67" priority="449" operator="equal">
      <formula>"Extremo"</formula>
    </cfRule>
    <cfRule type="cellIs" dxfId="66" priority="452" operator="equal">
      <formula>"Bajo"</formula>
    </cfRule>
  </conditionalFormatting>
  <conditionalFormatting sqref="AH84">
    <cfRule type="cellIs" dxfId="65" priority="422" operator="equal">
      <formula>"Alto"</formula>
    </cfRule>
    <cfRule type="cellIs" dxfId="64" priority="421" operator="equal">
      <formula>"Extremo"</formula>
    </cfRule>
    <cfRule type="cellIs" dxfId="63" priority="424" operator="equal">
      <formula>"Bajo"</formula>
    </cfRule>
    <cfRule type="cellIs" dxfId="62" priority="423" operator="equal">
      <formula>"Moderado"</formula>
    </cfRule>
  </conditionalFormatting>
  <conditionalFormatting sqref="AH90">
    <cfRule type="cellIs" dxfId="61" priority="393" operator="equal">
      <formula>"Extremo"</formula>
    </cfRule>
    <cfRule type="cellIs" dxfId="60" priority="394" operator="equal">
      <formula>"Alto"</formula>
    </cfRule>
    <cfRule type="cellIs" dxfId="59" priority="395" operator="equal">
      <formula>"Moderado"</formula>
    </cfRule>
    <cfRule type="cellIs" dxfId="58" priority="396" operator="equal">
      <formula>"Bajo"</formula>
    </cfRule>
  </conditionalFormatting>
  <conditionalFormatting sqref="AH92">
    <cfRule type="cellIs" dxfId="57" priority="366" operator="equal">
      <formula>"Alto"</formula>
    </cfRule>
    <cfRule type="cellIs" dxfId="56" priority="365" operator="equal">
      <formula>"Extremo"</formula>
    </cfRule>
    <cfRule type="cellIs" dxfId="55" priority="368" operator="equal">
      <formula>"Bajo"</formula>
    </cfRule>
    <cfRule type="cellIs" dxfId="54" priority="367" operator="equal">
      <formula>"Moderado"</formula>
    </cfRule>
  </conditionalFormatting>
  <conditionalFormatting sqref="AH94 AH97 AH100 AH103 AH105">
    <cfRule type="cellIs" dxfId="53" priority="96" operator="equal">
      <formula>"Alto"</formula>
    </cfRule>
    <cfRule type="cellIs" dxfId="52" priority="97" operator="equal">
      <formula>"Moderado"</formula>
    </cfRule>
    <cfRule type="cellIs" dxfId="51" priority="98" operator="equal">
      <formula>"Bajo"</formula>
    </cfRule>
    <cfRule type="cellIs" dxfId="50" priority="95" operator="equal">
      <formula>"Extremo"</formula>
    </cfRule>
  </conditionalFormatting>
  <conditionalFormatting sqref="AH107">
    <cfRule type="cellIs" dxfId="49" priority="70" operator="equal">
      <formula>"Bajo"</formula>
    </cfRule>
    <cfRule type="cellIs" dxfId="48" priority="69" operator="equal">
      <formula>"Moderado"</formula>
    </cfRule>
    <cfRule type="cellIs" dxfId="47" priority="68" operator="equal">
      <formula>"Alto"</formula>
    </cfRule>
    <cfRule type="cellIs" dxfId="46" priority="67" operator="equal">
      <formula>"Extremo"</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EA16C-9DDE-45DE-BFFE-56BCFEB1539B}">
  <dimension ref="A1:JF33"/>
  <sheetViews>
    <sheetView showGridLines="0" topLeftCell="A28" zoomScaleNormal="70" workbookViewId="0">
      <selection activeCell="I7" sqref="I7"/>
    </sheetView>
  </sheetViews>
  <sheetFormatPr baseColWidth="10" defaultColWidth="0" defaultRowHeight="13.2" x14ac:dyDescent="0.3"/>
  <cols>
    <col min="1" max="1" width="15.6640625" style="163" customWidth="1"/>
    <col min="2" max="2" width="42.5546875" style="167" customWidth="1"/>
    <col min="3" max="3" width="16.44140625" style="163" customWidth="1"/>
    <col min="4" max="4" width="12.44140625" style="167" customWidth="1"/>
    <col min="5" max="5" width="25" style="167" customWidth="1"/>
    <col min="6" max="6" width="3.77734375" style="167" customWidth="1"/>
    <col min="7" max="7" width="7.44140625" style="167" customWidth="1"/>
    <col min="8" max="8" width="14" style="167" customWidth="1"/>
    <col min="9" max="9" width="13.77734375" style="167" customWidth="1"/>
    <col min="10" max="13" width="12.44140625" style="167" customWidth="1"/>
    <col min="14" max="14" width="3.77734375" style="167" customWidth="1"/>
    <col min="15" max="15" width="4.77734375" style="163" hidden="1" customWidth="1"/>
    <col min="16" max="16" width="6.44140625" style="163" hidden="1" customWidth="1"/>
    <col min="17" max="17" width="11" style="163" hidden="1" customWidth="1"/>
    <col min="18" max="22" width="12" style="163" hidden="1" customWidth="1"/>
    <col min="23" max="23" width="11.44140625" style="163" customWidth="1"/>
    <col min="24" max="27" width="11.44140625" style="163" hidden="1" customWidth="1"/>
    <col min="28" max="28" width="5.44140625" style="163" hidden="1" customWidth="1"/>
    <col min="29" max="29" width="26.77734375" style="163" hidden="1" customWidth="1"/>
    <col min="30" max="34" width="22.77734375" style="167" hidden="1" customWidth="1"/>
    <col min="35" max="35" width="23.44140625" style="163" hidden="1" customWidth="1"/>
    <col min="36" max="263" width="11.44140625" style="163" hidden="1" customWidth="1"/>
    <col min="264" max="264" width="12.44140625" style="163" hidden="1" customWidth="1"/>
    <col min="265" max="265" width="47" style="163" hidden="1" customWidth="1"/>
    <col min="266" max="266" width="35" style="163" hidden="1" customWidth="1"/>
    <col min="267" max="16384" width="14.44140625" style="163" hidden="1"/>
  </cols>
  <sheetData>
    <row r="1" spans="1:36" s="143" customFormat="1" ht="54" customHeight="1" x14ac:dyDescent="0.25">
      <c r="A1" s="450" t="s">
        <v>709</v>
      </c>
      <c r="B1" s="450"/>
      <c r="C1" s="450"/>
      <c r="D1" s="450"/>
      <c r="E1" s="137"/>
      <c r="F1" s="137"/>
      <c r="G1" s="137"/>
      <c r="H1" s="138"/>
      <c r="I1" s="139"/>
      <c r="J1" s="140"/>
      <c r="K1" s="141"/>
      <c r="L1" s="141"/>
      <c r="M1" s="142"/>
      <c r="N1" s="137"/>
      <c r="AD1" s="144"/>
      <c r="AE1" s="144"/>
      <c r="AF1" s="144"/>
      <c r="AG1" s="144"/>
      <c r="AH1" s="144"/>
    </row>
    <row r="2" spans="1:36" s="143" customFormat="1" ht="15.6" customHeight="1" x14ac:dyDescent="0.25">
      <c r="A2" s="145"/>
      <c r="B2" s="137"/>
      <c r="C2" s="146"/>
      <c r="D2" s="142"/>
      <c r="E2" s="137"/>
      <c r="F2" s="137"/>
      <c r="G2" s="137"/>
      <c r="I2" s="147"/>
      <c r="J2" s="148"/>
      <c r="K2" s="149"/>
      <c r="L2" s="150"/>
      <c r="M2" s="142"/>
      <c r="N2" s="137"/>
      <c r="AD2" s="144"/>
      <c r="AE2" s="144"/>
      <c r="AF2" s="144"/>
      <c r="AG2" s="144"/>
      <c r="AH2" s="144"/>
    </row>
    <row r="3" spans="1:36" s="143" customFormat="1" ht="20.399999999999999" customHeight="1" thickBot="1" x14ac:dyDescent="0.3">
      <c r="A3" s="151" t="s">
        <v>70</v>
      </c>
      <c r="B3" s="451" t="str">
        <f>'[1]2. MATRIZ DE RIESGOS'!D6</f>
        <v>Gestión Financiera</v>
      </c>
      <c r="C3" s="451"/>
      <c r="D3" s="451"/>
      <c r="AD3" s="144"/>
      <c r="AE3" s="144"/>
      <c r="AF3" s="144"/>
      <c r="AG3" s="144"/>
      <c r="AH3" s="144"/>
    </row>
    <row r="4" spans="1:36" s="143" customFormat="1" ht="14.4" thickBot="1" x14ac:dyDescent="0.3">
      <c r="A4" s="152"/>
      <c r="B4" s="153"/>
      <c r="C4" s="153"/>
      <c r="D4" s="142"/>
      <c r="G4" s="452" t="s">
        <v>710</v>
      </c>
      <c r="H4" s="453"/>
      <c r="I4" s="453"/>
      <c r="J4" s="453"/>
      <c r="K4" s="453"/>
      <c r="L4" s="453"/>
      <c r="M4" s="454"/>
      <c r="O4" s="154"/>
      <c r="P4" s="154"/>
      <c r="Q4" s="155"/>
      <c r="R4" s="455" t="s">
        <v>479</v>
      </c>
      <c r="S4" s="455"/>
      <c r="T4" s="455"/>
      <c r="U4" s="455"/>
      <c r="V4" s="456"/>
      <c r="AD4" s="144"/>
      <c r="AE4" s="144"/>
      <c r="AF4" s="144"/>
      <c r="AG4" s="144"/>
      <c r="AH4" s="144"/>
    </row>
    <row r="5" spans="1:36" x14ac:dyDescent="0.3">
      <c r="A5" s="156"/>
      <c r="B5" s="157"/>
      <c r="C5" s="457" t="s">
        <v>711</v>
      </c>
      <c r="D5" s="457"/>
      <c r="E5" s="457"/>
      <c r="F5" s="159"/>
      <c r="G5" s="160"/>
      <c r="H5" s="161"/>
      <c r="I5" s="455" t="s">
        <v>479</v>
      </c>
      <c r="J5" s="455"/>
      <c r="K5" s="455"/>
      <c r="L5" s="455"/>
      <c r="M5" s="456"/>
      <c r="N5" s="159"/>
      <c r="O5" s="162"/>
      <c r="P5" s="162"/>
      <c r="R5" s="164">
        <v>0.2</v>
      </c>
      <c r="S5" s="164">
        <v>0.4</v>
      </c>
      <c r="T5" s="164">
        <v>0.6</v>
      </c>
      <c r="U5" s="164">
        <v>0.8</v>
      </c>
      <c r="V5" s="165">
        <v>1</v>
      </c>
      <c r="W5" s="166"/>
      <c r="X5" s="166"/>
      <c r="Y5" s="166"/>
      <c r="Z5" s="166"/>
      <c r="AA5" s="166"/>
      <c r="AB5" s="166"/>
      <c r="AC5" s="166"/>
    </row>
    <row r="6" spans="1:36" ht="26.4" x14ac:dyDescent="0.25">
      <c r="A6" s="168" t="s">
        <v>712</v>
      </c>
      <c r="B6" s="169" t="s">
        <v>713</v>
      </c>
      <c r="C6" s="158" t="s">
        <v>714</v>
      </c>
      <c r="D6" s="158" t="s">
        <v>663</v>
      </c>
      <c r="E6" s="170" t="s">
        <v>715</v>
      </c>
      <c r="F6" s="159"/>
      <c r="G6" s="162"/>
      <c r="H6" s="171"/>
      <c r="I6" s="172" t="s">
        <v>538</v>
      </c>
      <c r="J6" s="172" t="s">
        <v>494</v>
      </c>
      <c r="K6" s="172" t="s">
        <v>125</v>
      </c>
      <c r="L6" s="172" t="s">
        <v>145</v>
      </c>
      <c r="M6" s="173" t="s">
        <v>160</v>
      </c>
      <c r="N6" s="159"/>
      <c r="O6" s="162"/>
      <c r="P6" s="162"/>
      <c r="Q6" s="174"/>
      <c r="R6" s="175" t="s">
        <v>538</v>
      </c>
      <c r="S6" s="175" t="s">
        <v>494</v>
      </c>
      <c r="T6" s="175" t="s">
        <v>125</v>
      </c>
      <c r="U6" s="175" t="s">
        <v>145</v>
      </c>
      <c r="V6" s="176" t="s">
        <v>160</v>
      </c>
      <c r="Y6" s="166"/>
      <c r="Z6" s="166"/>
      <c r="AA6" s="177"/>
      <c r="AB6" s="177"/>
      <c r="AC6" s="177"/>
      <c r="AD6" s="177"/>
      <c r="AE6" s="177"/>
      <c r="AF6" s="177"/>
      <c r="AG6" s="177"/>
      <c r="AH6" s="177"/>
      <c r="AI6" s="177"/>
      <c r="AJ6" s="177"/>
    </row>
    <row r="7" spans="1:36" ht="125.25" customHeight="1" x14ac:dyDescent="0.25">
      <c r="A7" s="178" t="str">
        <f>'[1]2. MATRIZ DE RIESGOS'!A15</f>
        <v>GF16</v>
      </c>
      <c r="B7" s="179" t="str">
        <f>'[1]2. MATRIZ DE RIESGOS'!G15</f>
        <v>Posibilidad de afectación reputacional y económica del Instituto por quejas interpuestas de manera informal o por correo electrónico por parte de los proveedores y contratistas, por disminución en la liquidez institucional, por pérdida de recursos, así como por posibles acciones legales de terceros. Lo anterior, debido a la realización de desembolsos por valores diferentes a los obligados.</v>
      </c>
      <c r="C7" s="180" t="str">
        <f>'[1]2. MATRIZ DE RIESGOS'!J15</f>
        <v>Alta</v>
      </c>
      <c r="D7" s="180" t="str">
        <f>'[1]2. MATRIZ DE RIESGOS'!L15</f>
        <v>Moderado</v>
      </c>
      <c r="E7" s="179" t="str">
        <f>+IF(C7=$Q$7,IF(D7=$R$6,$R$7,IF(D7=$S$6,$S$7,IF(D7=$T$6,$T$7,IF(D7=$U$6,$U$7,IF(D7=$V$6,$V$7))))),IF(C7=$Q$8,IF(D7=$R$6,$R$8,IF(D7=$S$6,$S$8,IF(D7=$T$6,$T$8,IF(D7=$U$6,$U$8,IF(D7=$V$6,$V$8))))),IF(C7=$Q$9,IF(D7=$R$6,$R$9,IF(D7=$S$6,$S$9,IF(D7=$T$6,$T$9,IF(D7=$U$6,$U$9,IF(D7=$V$6,$V$9))))),IF(C7=$Q$10,IF(D7=$R$6,$R$10,IF(D7=$S$6,$S$10,IF(D7=$T$6,$T$10,IF(D7=$U$6,$U$10,IF(D7=$V$6,$V$10))))),IF(C7=$Q$11,IF(D7=$R$6,$R$11,IF(D7=$S$6,$S$11,IF(D7=$T$6,$T$11,IF(D7=$U$6,$U$11,IF(D7=$V$6,$V$11))))),"")))))</f>
        <v>Alto</v>
      </c>
      <c r="F7" s="181"/>
      <c r="G7" s="458" t="s">
        <v>480</v>
      </c>
      <c r="H7" s="172" t="s">
        <v>287</v>
      </c>
      <c r="I7" s="182"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"&amp;IF(AND(C26=$Q$7,D26=$R$6),A26,"")&amp;" "&amp;IF(AND(C27=$Q$7,D27=$R$6),A27,"")&amp;" "&amp;IF(AND(C28=$Q$7,D28=$R$6),A28,"")&amp;" "&amp;IF(AND(C29=$Q$7,D29=$R$6),A29,"")&amp;" "&amp;IF(AND(C30=$Q$7,D30=$R$6),A30,"")&amp;" "&amp;IF(AND(C31=$Q$7,D31=$R$6),A31,"")</f>
        <v xml:space="preserve">                        </v>
      </c>
      <c r="J7" s="182"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"&amp;IF(AND(C26=$Q$7,D26=$S$6),A26,"")&amp;" "&amp;IF(AND(C27=$Q$7,D27=$S$6),A27,"")&amp;" "&amp;IF(AND(C28=$Q$7,D28=$S$6),A28,"")&amp;" "&amp;IF(AND(C29=$Q$7,D29=$S$6),A29,"")&amp;" "&amp;IF(AND(C30=$Q$7,D30=$S$6),A30,"")&amp;" "&amp;IF(AND(C31=$Q$7,D31=$S$6),A31,"")</f>
        <v xml:space="preserve">                        </v>
      </c>
      <c r="K7" s="182"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"&amp;IF(AND(C26=$Q$7,D26=$T$6),A26,"")&amp;" "&amp;IF(AND(C27=$Q$7,D27=$T$6),A27,"")&amp;" "&amp;IF(AND(C28=$Q$7,D28=$T$6),A28,"")&amp;" "&amp;IF(AND(C29=$Q$7,D29=$T$6),A29,"")&amp;" "&amp;IF(AND(C30=$Q$7,D30=$T$6),A30,"")&amp;" "&amp;IF(AND(C31=$Q$7,D31=$T$6),A31,"")</f>
        <v xml:space="preserve">                        </v>
      </c>
      <c r="L7" s="182"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"&amp;IF(AND(C26=$Q$7,D26=$U$6),A26,"")&amp;" "&amp;IF(AND(C27=$Q$7,D27=$U$6),A27,"")&amp;" "&amp;IF(AND(C28=$Q$7,D28=$U$6),A28,"")&amp;" "&amp;IF(AND(C29=$Q$7,D29=$U$6),A29,"")&amp;" "&amp;IF(AND(C30=$Q$7,D30=$U$6),A30,"")&amp;" "&amp;IF(AND(C31=$Q$7,D31=$U$6),A31,"")</f>
        <v xml:space="preserve">        GF20                </v>
      </c>
      <c r="M7" s="183"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"&amp;IF(AND(C26=$Q$7,D26=$V$6),A26,"")&amp;" "&amp;IF(AND(C27=$Q$7,D27=$V$6),A27,"")&amp;" "&amp;IF(AND(C28=$Q$7,D28=$V$6),A28,"")&amp;" "&amp;IF(AND(C29=$Q$7,D29=$V$6),A29,"")&amp;" "&amp;IF(AND(C30=$Q$7,D30=$V$6),A30,"")&amp;" "&amp;IF(AND(C31=$Q$7,D31=$V$6),A31,"")</f>
        <v xml:space="preserve">                        </v>
      </c>
      <c r="N7" s="181"/>
      <c r="O7" s="460" t="s">
        <v>480</v>
      </c>
      <c r="P7" s="184">
        <v>1</v>
      </c>
      <c r="Q7" s="175" t="s">
        <v>287</v>
      </c>
      <c r="R7" s="182" t="s">
        <v>482</v>
      </c>
      <c r="S7" s="182" t="s">
        <v>482</v>
      </c>
      <c r="T7" s="182" t="s">
        <v>482</v>
      </c>
      <c r="U7" s="182" t="s">
        <v>482</v>
      </c>
      <c r="V7" s="183" t="s">
        <v>481</v>
      </c>
      <c r="Y7" s="166"/>
      <c r="Z7" s="166"/>
      <c r="AA7" s="177"/>
      <c r="AB7" s="177"/>
      <c r="AC7" s="177"/>
      <c r="AD7" s="185"/>
      <c r="AE7" s="185"/>
      <c r="AF7" s="185"/>
      <c r="AG7" s="185"/>
      <c r="AH7" s="185"/>
      <c r="AI7" s="177"/>
      <c r="AJ7" s="177"/>
    </row>
    <row r="8" spans="1:36" ht="138.6" customHeight="1" x14ac:dyDescent="0.25">
      <c r="A8" s="178" t="str">
        <f>'[1]2. MATRIZ DE RIESGOS'!A17</f>
        <v>GF17</v>
      </c>
      <c r="B8" s="179" t="str">
        <f>'[1]2. MATRIZ DE RIESGOS'!G17</f>
        <v>Posibilidad de afectación económica por disminución en la liquidez institucional así como por pérdida de recursos, debido a la realización de pagos dobles de obligaciones.</v>
      </c>
      <c r="C8" s="180" t="str">
        <f>'[1]2. MATRIZ DE RIESGOS'!J17</f>
        <v>Alta</v>
      </c>
      <c r="D8" s="180" t="str">
        <f>'[1]2. MATRIZ DE RIESGOS'!L17</f>
        <v>Mayor</v>
      </c>
      <c r="E8" s="179" t="str">
        <f>+IF(C8=$Q$7,IF(D8=$R$6,$R$7,IF(D8=$S$6,$S$7,IF(D8=$T$6,$T$7,IF(D8=$U$6,$U$7,IF(D8=$V$6,$V$7))))),IF(C8=$Q$8,IF(D8=$R$6,$R$8,IF(D8=$S$6,$S$8,IF(D8=$T$6,$T$8,IF(D8=$U$6,$U$8,IF(D8=$V$6,$V$8))))),IF(C8=$Q$9,IF(D8=$R$6,$R$9,IF(D8=$S$6,$S$9,IF(D8=$T$6,$T$9,IF(D8=$U$6,$U$9,IF(D8=$V$6,$V$9))))),IF(C8=$Q$10,IF(D8=$R$6,$R$10,IF(D8=$S$6,$S$10,IF(D8=$T$6,$T$10,IF(D8=$U$6,$U$10,IF(D8=$V$6,$V$10))))),IF(C8=$Q$11,IF(D8=$R$6,$R$11,IF(D8=$S$6,$S$11,IF(D8=$T$6,$T$11,IF(D8=$U$6,$U$11,IF(D8=$V$6,$V$11))))),"")))))</f>
        <v>Alto</v>
      </c>
      <c r="F8" s="181"/>
      <c r="G8" s="458"/>
      <c r="H8" s="172" t="s">
        <v>124</v>
      </c>
      <c r="I8" s="186"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"&amp;IF(AND(C26=$Q$8,D26=$R$6),A26,"")&amp;" "&amp;IF(AND(C27=$Q$8,D27=$R$6),A27,"")&amp;" "&amp;IF(AND(C28=$Q$8,D28=$R$6),A28,"")&amp;" "&amp;IF(AND(C29=$Q$8,D29=$R$6),A29,"")&amp;" "&amp;IF(AND(C30=$Q$8,D30=$R$6),A30,"")&amp;" "&amp;IF(AND(C31=$Q$8,D31=$R$6),A31,"")</f>
        <v xml:space="preserve">                        </v>
      </c>
      <c r="J8" s="186"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"&amp;IF(AND(C26=$Q$8,D26=$S$6),A26,"")&amp;" "&amp;IF(AND(C27=$Q$8,D27=$S$6),A27,"")&amp;" "&amp;IF(AND(C28=$Q$8,D28=$S$6),A28,"")&amp;" "&amp;IF(AND(C29=$Q$8,D29=$S$6),A29,"")&amp;" "&amp;IF(AND(C30=$Q$8,D30=$S$6),A30,"")&amp;" "&amp;IF(AND(C31=$Q$8,D31=$S$6),A31,"")</f>
        <v xml:space="preserve">                        </v>
      </c>
      <c r="K8" s="182"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"&amp;IF(AND(C26=$Q$8,D26=$T$6),A26,"")&amp;" "&amp;IF(AND(C27=$Q$8,D27=$T$6),A27,"")&amp;" "&amp;IF(AND(C28=$Q$8,D28=$T$6),A28,"")&amp;" "&amp;IF(AND(C29=$Q$8,D29=$T$6),A29,"")&amp;" "&amp;IF(AND(C30=$Q$8,D30=$T$6),A30,"")&amp;" "&amp;IF(AND(C31=$Q$8,D31=$T$6),A31,"")</f>
        <v xml:space="preserve">GF16         GF26            GF28   </v>
      </c>
      <c r="L8" s="182"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"&amp;IF(AND(C26=$Q$8,D26=$U$6),A26,"")&amp;" "&amp;IF(AND(C27=$Q$8,D27=$U$6),A27,"")&amp;" "&amp;IF(AND(C28=$Q$8,D28=$U$6),A28,"")&amp;" "&amp;IF(AND(C29=$Q$8,D29=$U$6),A29,"")&amp;" "&amp;IF(AND(C30=$Q$8,D30=$U$6),A30,"")&amp;" "&amp;IF(AND(C31=$Q$8,D31=$U$6),A31,"")</f>
        <v xml:space="preserve"> GF17  GF30   GF19     GF28         GF27    </v>
      </c>
      <c r="M8" s="183"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"&amp;IF(AND(C26=$Q$8,D26=$V$6),A26,"")&amp;" "&amp;IF(AND(C27=$Q$8,D27=$V$6),A27,"")&amp;" "&amp;IF(AND(C28=$Q$8,D28=$V$6),A28,"")&amp;" "&amp;IF(AND(C29=$Q$8,D29=$V$6),A29,"")&amp;" "&amp;IF(AND(C30=$Q$8,D30=$V$6),A30,"")&amp;" "&amp;IF(AND(C31=$Q$8,D31=$V$6),A31,"")</f>
        <v xml:space="preserve">  GF18                      </v>
      </c>
      <c r="N8" s="181"/>
      <c r="O8" s="460"/>
      <c r="P8" s="184">
        <v>0.8</v>
      </c>
      <c r="Q8" s="175" t="s">
        <v>124</v>
      </c>
      <c r="R8" s="186" t="s">
        <v>125</v>
      </c>
      <c r="S8" s="186" t="s">
        <v>125</v>
      </c>
      <c r="T8" s="182" t="s">
        <v>482</v>
      </c>
      <c r="U8" s="182" t="s">
        <v>482</v>
      </c>
      <c r="V8" s="183" t="s">
        <v>481</v>
      </c>
      <c r="Y8" s="166"/>
      <c r="Z8" s="166"/>
      <c r="AA8" s="177"/>
      <c r="AB8" s="187"/>
      <c r="AC8" s="188"/>
      <c r="AD8" s="185"/>
      <c r="AE8" s="185"/>
      <c r="AF8" s="185"/>
      <c r="AG8" s="185"/>
      <c r="AH8" s="185"/>
      <c r="AI8" s="177"/>
      <c r="AJ8" s="177"/>
    </row>
    <row r="9" spans="1:36" ht="135" customHeight="1" x14ac:dyDescent="0.25">
      <c r="A9" s="178" t="str">
        <f>'[1]2. MATRIZ DE RIESGOS'!A20</f>
        <v>GF18</v>
      </c>
      <c r="B9" s="179" t="str">
        <f>'[1]2. MATRIZ DE RIESGOS'!G20</f>
        <v>Posibilidad de afectación económica y reputacional del Instituto por perdida de recursos y por lo tanto posibles sanciones de índole disciplinaria, penal y/o económica por parte de los entes de control, debido a la apropiación de recursos financieros por parte empleados o terceros para el beneficio particular.</v>
      </c>
      <c r="C9" s="180" t="str">
        <f>'[1]2. MATRIZ DE RIESGOS'!J20</f>
        <v>Alta</v>
      </c>
      <c r="D9" s="180" t="str">
        <f>'[1]2. MATRIZ DE RIESGOS'!L20</f>
        <v>Catastrófico</v>
      </c>
      <c r="E9" s="179" t="str">
        <f>+IF(C9=$Q$7,IF(D9=$R$6,$R$7,IF(D9=$S$6,$S$7,IF(D9=$T$6,$T$7,IF(D9=$U$6,$U$7,IF(D9=$V$6,$V$7))))),IF(C9=$Q$8,IF(D9=$R$6,$R$8,IF(D9=$S$6,$S$8,IF(D9=$T$6,$T$8,IF(D9=$U$6,$U$8,IF(D9=$V$6,$V$8))))),IF(C9=$Q$9,IF(D9=$R$6,$R$9,IF(D9=$S$6,$S$9,IF(D9=$T$6,$T$9,IF(D9=$U$6,$U$9,IF(D9=$V$6,$V$9))))),IF(C9=$Q$10,IF(D9=$R$6,$R$10,IF(D9=$S$6,$S$10,IF(D9=$T$6,$T$10,IF(D9=$U$6,$U$10,IF(D9=$V$6,$V$10))))),IF(C9=$Q$11,IF(D9=$R$6,$R$11,IF(D9=$S$6,$S$11,IF(D9=$T$6,$T$11,IF(D9=$U$6,$U$11,IF(D9=$V$6,$V$11))))),"")))))</f>
        <v>Extremo</v>
      </c>
      <c r="F9" s="181"/>
      <c r="G9" s="458"/>
      <c r="H9" s="172" t="s">
        <v>206</v>
      </c>
      <c r="I9" s="186"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"&amp;IF(AND(C26=$Q$9,D26=$R$6),A26,"")&amp;" "&amp;IF(AND(C27=$Q$9,D27=$R$6),A27,"")&amp;" "&amp;IF(AND(C28=$Q$9,D28=$R$6),A28,"")&amp;" "&amp;IF(AND(C29=$Q$9,D29=$R$6),A29,"")&amp;" "&amp;IF(AND(C30=$Q$9,D30=$R$6),A30,"")&amp;" "&amp;IF(AND(C31=$Q$9,D31=$R$6),A31,"")</f>
        <v xml:space="preserve">                        </v>
      </c>
      <c r="J9" s="186"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"&amp;IF(AND(C26=$Q$9,D26=$S$6),A26,"")&amp;" "&amp;IF(AND(C27=$Q$9,D27=$S$6),A27,"")&amp;" "&amp;IF(AND(C28=$Q$9,D28=$S$6),A28,"")&amp;" "&amp;IF(AND(C29=$Q$9,D29=$S$6),A29,"")&amp;" "&amp;IF(AND(C30=$Q$9,D30=$S$6),A30,"")&amp;" "&amp;IF(AND(C31=$Q$9,D31=$S$6),A31,"")</f>
        <v xml:space="preserve">                        </v>
      </c>
      <c r="K9" s="186"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"&amp;IF(AND(C26=$Q$9,D26=$T$6),A26,"")&amp;" "&amp;IF(AND(C27=$Q$9,D27=$T$6),A27,"")&amp;" "&amp;IF(AND(C28=$Q$9,D28=$T$6),A28,"")&amp;" "&amp;IF(AND(C29=$Q$9,D29=$T$6),A29,"")&amp;" "&amp;IF(AND(C30=$Q$9,D30=$T$6),A30,"")&amp;" "&amp;IF(AND(C31=$Q$9,D31=$T$6),A31,"")</f>
        <v xml:space="preserve">       GF33      GF32 GF34 GF22    GF26   GF29 GF30 GF31</v>
      </c>
      <c r="L9" s="182"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"&amp;IF(AND(C26=$Q$9,D26=$U$6),A26,"")&amp;" "&amp;IF(AND(C27=$Q$9,D27=$U$6),A27,"")&amp;" "&amp;IF(AND(C28=$Q$9,D28=$U$6),A28,"")&amp;" "&amp;IF(AND(C29=$Q$9,D29=$U$6),A29,"")&amp;" "&amp;IF(AND(C30=$Q$9,D30=$U$6),A30,"")&amp;" "&amp;IF(AND(C31=$Q$9,D31=$U$6),A31,"")</f>
        <v xml:space="preserve">    GF31        GF29     GF24       </v>
      </c>
      <c r="M9" s="183"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"&amp;IF(AND(C26=$Q$9,D26=$V$6),A26,"")&amp;" "&amp;IF(AND(C27=$Q$9,D27=$V$6),A27,"")&amp;" "&amp;IF(AND(C28=$Q$9,D28=$V$6),A28,"")&amp;" "&amp;IF(AND(C29=$Q$9,D29=$V$6),A29,"")&amp;" "&amp;IF(AND(C30=$Q$9,D30=$V$6),A30,"")&amp;" "&amp;IF(AND(C31=$Q$9,D31=$V$6),A31,"")</f>
        <v xml:space="preserve">     GF32           GF23        </v>
      </c>
      <c r="N9" s="181"/>
      <c r="O9" s="460"/>
      <c r="P9" s="184">
        <v>0.6</v>
      </c>
      <c r="Q9" s="175" t="s">
        <v>206</v>
      </c>
      <c r="R9" s="186" t="s">
        <v>125</v>
      </c>
      <c r="S9" s="186" t="s">
        <v>125</v>
      </c>
      <c r="T9" s="186" t="s">
        <v>125</v>
      </c>
      <c r="U9" s="182" t="s">
        <v>482</v>
      </c>
      <c r="V9" s="183" t="s">
        <v>481</v>
      </c>
      <c r="Y9" s="166"/>
      <c r="Z9" s="166"/>
      <c r="AA9" s="177"/>
      <c r="AB9" s="187"/>
      <c r="AC9" s="188"/>
      <c r="AD9" s="185"/>
      <c r="AE9" s="185"/>
      <c r="AF9" s="185"/>
      <c r="AG9" s="185"/>
      <c r="AH9" s="189"/>
      <c r="AI9" s="177"/>
      <c r="AJ9" s="177"/>
    </row>
    <row r="10" spans="1:36" ht="139.80000000000001" customHeight="1" x14ac:dyDescent="0.25">
      <c r="A10" s="178" t="str">
        <f>'[1]2. MATRIZ DE RIESGOS'!A26</f>
        <v>GF30</v>
      </c>
      <c r="B10" s="179" t="str">
        <f>'[1]2. MATRIZ DE RIESGOS'!G26</f>
        <v>Posibilidad de afectación reputacional y económica para el Instituto reflejada en quejas por parte la comunidad por no recibir los productos y servicios derivados de los proyectos de inversión, Quejas por parte de proveedores por el no pago de obligaciones contractuales, Requerimientos por parte del Distrito y el Concejo de Medellín derivados del incumplimiento de metas de Plan de Desarrollo Distrital, Hallazgos por parte de entes de Control, pago de intereses de mora por el incumplimiento de los pagos,  disminución en las transferencias distritales por baja ejecución del PAC asi como por posibles acciones legales de terceros. Lo anterior, debido a que no se de cumplimiento a los pagos con relación al PAC proyectado de gastos.</v>
      </c>
      <c r="C10" s="180" t="str">
        <f>'[1]2. MATRIZ DE RIESGOS'!J26</f>
        <v>Alta</v>
      </c>
      <c r="D10" s="180" t="str">
        <f>'[1]2. MATRIZ DE RIESGOS'!L26</f>
        <v>Mayor</v>
      </c>
      <c r="E10" s="179"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Alto</v>
      </c>
      <c r="F10" s="181"/>
      <c r="G10" s="458"/>
      <c r="H10" s="172" t="s">
        <v>332</v>
      </c>
      <c r="I10" s="190"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"&amp;IF(AND(C26=$Q$10,D26=$R$6),A26,"")&amp;" "&amp;IF(AND(C27=$Q$10,D27=$R$6),A27,"")&amp;" "&amp;IF(AND(C28=$Q$10,D28=$R$6),A28,"")&amp;" "&amp;IF(AND(C29=$Q$10,D29=$R$6),A29,"")&amp;" "&amp;IF(AND(C30=$Q$10,D30=$R$6),A30,"")&amp;" "&amp;IF(AND(C31=$Q$10,D31=$R$6),A31,"")</f>
        <v xml:space="preserve">                        </v>
      </c>
      <c r="J10" s="186"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"&amp;IF(AND(C26=$Q$10,D26=$S$6),A26,"")&amp;" "&amp;IF(AND(C27=$Q$10,D27=$S$6),A27,"")&amp;" "&amp;IF(AND(C28=$Q$10,D28=$S$6),A28,"")&amp;" "&amp;IF(AND(C29=$Q$10,D29=$S$6),A29,"")&amp;" "&amp;IF(AND(C30=$Q$10,D30=$S$6),A30,"")&amp;" "&amp;IF(AND(C31=$Q$10,D31=$S$6),A31,"")</f>
        <v xml:space="preserve">                        </v>
      </c>
      <c r="K10" s="186"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"&amp;IF(AND(C26=$Q$10,D26=$T$6),A26,"")&amp;" "&amp;IF(AND(C27=$Q$10,D27=$T$6),A27,"")&amp;" "&amp;IF(AND(C28=$Q$10,D28=$T$6),A28,"")&amp;" "&amp;IF(AND(C29=$Q$10,D29=$T$6),A29,"")&amp;" "&amp;IF(AND(C30=$Q$10,D30=$T$6),A30,"")&amp;" "&amp;IF(AND(C31=$Q$10,D31=$T$6),A31,"")</f>
        <v xml:space="preserve">                  GF25      </v>
      </c>
      <c r="L10" s="182"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"&amp;IF(AND(C26=$Q$10,D26=$U$6),A26,"")&amp;" "&amp;IF(AND(C27=$Q$10,D27=$U$6),A27,"")&amp;" "&amp;IF(AND(C28=$Q$10,D28=$U$6),A28,"")&amp;" "&amp;IF(AND(C29=$Q$10,D29=$U$6),A29,"")&amp;" "&amp;IF(AND(C30=$Q$10,D30=$U$6),A30,"")&amp;" "&amp;IF(AND(C31=$Q$10,D31=$U$6),A31,"")</f>
        <v xml:space="preserve">          GF27              </v>
      </c>
      <c r="M10" s="183"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"&amp;IF(AND(C26=$Q$10,D26=$V$6),A26,"")&amp;" "&amp;IF(AND(C27=$Q$10,D27=$V$6),A27,"")&amp;" "&amp;IF(AND(C28=$Q$10,D28=$V$6),A28,"")&amp;" "&amp;IF(AND(C29=$Q$10,D29=$V$6),A29,"")&amp;" "&amp;IF(AND(C30=$Q$10,D30=$V$6),A30,"")&amp;" "&amp;IF(AND(C31=$Q$10,D31=$V$6),A31,"")</f>
        <v xml:space="preserve">                        </v>
      </c>
      <c r="N10" s="181"/>
      <c r="O10" s="460"/>
      <c r="P10" s="184">
        <v>0.4</v>
      </c>
      <c r="Q10" s="175" t="s">
        <v>332</v>
      </c>
      <c r="R10" s="190" t="s">
        <v>483</v>
      </c>
      <c r="S10" s="186" t="s">
        <v>125</v>
      </c>
      <c r="T10" s="186" t="s">
        <v>125</v>
      </c>
      <c r="U10" s="182" t="s">
        <v>482</v>
      </c>
      <c r="V10" s="183" t="s">
        <v>481</v>
      </c>
      <c r="Y10" s="166"/>
      <c r="Z10" s="166"/>
      <c r="AA10" s="177"/>
      <c r="AB10" s="187"/>
      <c r="AC10" s="188"/>
      <c r="AD10" s="185"/>
      <c r="AE10" s="185"/>
      <c r="AF10" s="185"/>
      <c r="AG10" s="189"/>
      <c r="AH10" s="185"/>
      <c r="AI10" s="177"/>
      <c r="AJ10" s="177"/>
    </row>
    <row r="11" spans="1:36" ht="93" customHeight="1" thickBot="1" x14ac:dyDescent="0.3">
      <c r="A11" s="178" t="str">
        <f>'[1]2. MATRIZ DE RIESGOS'!A30</f>
        <v>GF31</v>
      </c>
      <c r="B11" s="179" t="str">
        <f>'[1]2. MATRIZ DE RIESGOS'!G30</f>
        <v>Posibilidad de afectación reputacional del Instituto reflejada en hallazgos por parte de los entes de control y requerimiento del Concejo Ditstrital de Medellín, debido a que no se de cumplimiento al reintegro mensual de los rendimientos financieros con relación a la resolución 112 CODFIS.</v>
      </c>
      <c r="C11" s="180" t="str">
        <f>'[1]2. MATRIZ DE RIESGOS'!J30</f>
        <v>Media</v>
      </c>
      <c r="D11" s="180" t="str">
        <f>'[1]2. MATRIZ DE RIESGOS'!L30</f>
        <v>Mayor</v>
      </c>
      <c r="E11" s="179" t="str">
        <f t="shared" si="0"/>
        <v>Alto</v>
      </c>
      <c r="F11" s="181"/>
      <c r="G11" s="459"/>
      <c r="H11" s="191" t="s">
        <v>486</v>
      </c>
      <c r="I11" s="192"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"&amp;IF(AND(C26=$Q$11,D26=$R$6),A26,"")&amp;" "&amp;IF(AND(C27=$Q$11,D27=$R$6),A27,"")&amp;" "&amp;IF(AND(C28=$Q$11,D28=$R$6),A28,"")&amp;" "&amp;IF(AND(C29=$Q$11,D29=$R$6),A29,"")&amp;" "&amp;IF(AND(C30=$Q$11,D30=$R$6),A30,"")&amp;" "&amp;IF(AND(C31=$Q$11,D31=$R$6),A31,"")</f>
        <v xml:space="preserve">                        </v>
      </c>
      <c r="J11" s="192"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"&amp;IF(AND(C26=$Q$11,D26=$S$6),A26,"")&amp;" "&amp;IF(AND(C27=$Q$11,D27=$S$6),A27,"")&amp;" "&amp;IF(AND(C28=$Q$11,D28=$S$6),A28,"")&amp;" "&amp;IF(AND(C29=$Q$11,D29=$S$6),A29,"")&amp;" "&amp;IF(AND(C30=$Q$11,D30=$S$6),A30,"")&amp;" "&amp;IF(AND(C31=$Q$11,D31=$S$6),A31,"")</f>
        <v xml:space="preserve">                        </v>
      </c>
      <c r="K11" s="193"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"&amp;IF(AND(C26=$Q$11,D26=$T$6),A26,"")&amp;" "&amp;IF(AND(C27=$Q$11,D27=$T$6),A27,"")&amp;" "&amp;IF(AND(C28=$Q$11,D28=$T$6),A28,"")&amp;" "&amp;IF(AND(C29=$Q$11,D29=$T$6),A29,"")&amp;" "&amp;IF(AND(C30=$Q$11,D30=$T$6),A30,"")&amp;" "&amp;IF(AND(C31=$Q$11,D31=$T$6),A31,"")</f>
        <v xml:space="preserve">                        </v>
      </c>
      <c r="L11" s="194"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"&amp;IF(AND(C26=$Q$11,D26=$U$6),A26,"")&amp;" "&amp;IF(AND(C27=$Q$11,D27=$U$6),A27,"")&amp;" "&amp;IF(AND(C28=$Q$11,D28=$U$6),A28,"")&amp;" "&amp;IF(AND(C29=$Q$11,D29=$U$6),A29,"")&amp;" "&amp;IF(AND(C30=$Q$11,D30=$U$6),A30,"")&amp;" "&amp;IF(AND(C31=$Q$11,D31=$U$6),A31,"")</f>
        <v xml:space="preserve">                        </v>
      </c>
      <c r="M11" s="195"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"&amp;IF(AND(C26=$Q$11,D26=$V$6),A26,"")&amp;" "&amp;IF(AND(C27=$Q$11,D27=$V$6),A27,"")&amp;" "&amp;IF(AND(C28=$Q$11,D28=$V$6),A28,"")&amp;" "&amp;IF(AND(C29=$Q$11,D29=$V$6),A29,"")&amp;" "&amp;IF(AND(C30=$Q$11,D30=$V$6),A30,"")&amp;" "&amp;IF(AND(C31=$Q$11,D31=$V$6),A31,"")</f>
        <v xml:space="preserve">                        </v>
      </c>
      <c r="N11" s="181"/>
      <c r="O11" s="461"/>
      <c r="P11" s="196">
        <v>0.2</v>
      </c>
      <c r="Q11" s="197" t="s">
        <v>486</v>
      </c>
      <c r="R11" s="192" t="s">
        <v>483</v>
      </c>
      <c r="S11" s="192" t="s">
        <v>483</v>
      </c>
      <c r="T11" s="193" t="s">
        <v>125</v>
      </c>
      <c r="U11" s="194" t="s">
        <v>482</v>
      </c>
      <c r="V11" s="195" t="s">
        <v>481</v>
      </c>
      <c r="Y11" s="166"/>
      <c r="Z11" s="166"/>
      <c r="AA11" s="177"/>
      <c r="AB11" s="187"/>
      <c r="AC11" s="188"/>
      <c r="AD11" s="185"/>
      <c r="AE11" s="185"/>
      <c r="AF11" s="185"/>
      <c r="AG11" s="198"/>
      <c r="AH11" s="185"/>
      <c r="AI11" s="177"/>
      <c r="AJ11" s="177"/>
    </row>
    <row r="12" spans="1:36" ht="93" customHeight="1" x14ac:dyDescent="0.25">
      <c r="A12" s="178" t="str">
        <f>'[1]2. MATRIZ DE RIESGOS'!A33</f>
        <v>GF32</v>
      </c>
      <c r="B12" s="179" t="str">
        <f>'[1]2. MATRIZ DE RIESGOS'!G33</f>
        <v>Posibilidad de afectacion reputacional y económico, reflejada en requerimeintos del Distrito y el Concejo Distrital por el incumplimiento de metas y objetivos de Plan de Desarrollo, hallazgos por parte de los entes de control, pago de multas, sanciones, intereses moratorias por el incumplimiento en el pago de obligaciones. Lo anterior, debido a que no se desembolsen las transferencias pactadas por parte del Distrito.</v>
      </c>
      <c r="C12" s="180" t="str">
        <f>'[1]2. MATRIZ DE RIESGOS'!J33</f>
        <v>Media</v>
      </c>
      <c r="D12" s="180" t="str">
        <f>'[1]2. MATRIZ DE RIESGOS'!L33</f>
        <v>Catastrófico</v>
      </c>
      <c r="E12" s="179" t="str">
        <f t="shared" si="0"/>
        <v>Extremo</v>
      </c>
      <c r="F12" s="181"/>
      <c r="G12" s="181"/>
      <c r="H12" s="181"/>
      <c r="I12" s="181"/>
      <c r="J12" s="181"/>
      <c r="K12" s="181"/>
      <c r="L12" s="181"/>
      <c r="M12" s="181"/>
      <c r="N12" s="181"/>
      <c r="Y12" s="166"/>
      <c r="Z12" s="166"/>
      <c r="AA12" s="177"/>
      <c r="AB12" s="187"/>
      <c r="AC12" s="188"/>
      <c r="AD12" s="185"/>
      <c r="AE12" s="185"/>
      <c r="AF12" s="185"/>
      <c r="AG12" s="185"/>
      <c r="AH12" s="185"/>
      <c r="AI12" s="177"/>
      <c r="AJ12" s="177"/>
    </row>
    <row r="13" spans="1:36" ht="93" customHeight="1" x14ac:dyDescent="0.25">
      <c r="A13" s="178" t="str">
        <f>'[1]2. MATRIZ DE RIESGOS'!A35</f>
        <v>GF19</v>
      </c>
      <c r="B13" s="179" t="str">
        <f>'[1]2. MATRIZ DE RIESGOS'!G35</f>
        <v>Posibilidad de afectación económica y reputacional del Instituto por disminución de ingresos que afecta el cumplimiento de pagos, detrimento patrimonial así como por hallazgos de los entes de control, debido al aumento de la cartera hipotecaria de aquellas obligaciones mayor a 6 cuotas vencidas (&gt; 180 días).</v>
      </c>
      <c r="C13" s="180" t="str">
        <f>'[1]2. MATRIZ DE RIESGOS'!J35</f>
        <v>Alta</v>
      </c>
      <c r="D13" s="180" t="str">
        <f>'[1]2. MATRIZ DE RIESGOS'!L35</f>
        <v>Mayor</v>
      </c>
      <c r="E13" s="179" t="str">
        <f t="shared" si="0"/>
        <v>Alto</v>
      </c>
      <c r="F13" s="181"/>
      <c r="G13" s="181"/>
      <c r="H13" s="181"/>
      <c r="I13" s="181"/>
      <c r="J13" s="181"/>
      <c r="K13" s="181"/>
      <c r="L13" s="181"/>
      <c r="M13" s="181"/>
      <c r="N13" s="181"/>
      <c r="R13" s="158" t="s">
        <v>716</v>
      </c>
      <c r="T13" s="166"/>
      <c r="U13" s="166"/>
      <c r="V13" s="166"/>
      <c r="W13" s="166"/>
      <c r="X13" s="166"/>
      <c r="Y13" s="166"/>
      <c r="Z13" s="166"/>
      <c r="AA13" s="177"/>
      <c r="AB13" s="187"/>
      <c r="AC13" s="177"/>
      <c r="AD13" s="188"/>
      <c r="AE13" s="188"/>
      <c r="AF13" s="188"/>
      <c r="AG13" s="188"/>
      <c r="AH13" s="188"/>
      <c r="AI13" s="177"/>
      <c r="AJ13" s="177"/>
    </row>
    <row r="14" spans="1:36" ht="93" customHeight="1" x14ac:dyDescent="0.25">
      <c r="A14" s="178" t="str">
        <f>'[1]2. MATRIZ DE RIESGOS'!A44</f>
        <v>GF33</v>
      </c>
      <c r="B14" s="179" t="str">
        <f>'[1]2. MATRIZ DE RIESGOS'!G44</f>
        <v>Posibilidad de afectación económica y reputacional reflejada en el incumplimiento de la meta mensual de recaudo, asi como de a dismunución en la disponbilidad de recursos para gastos de funcionamiento de la entidad, debido a que la cartera &lt;=6 cuotas acumule cuotas vencidas y por lo tanto se incremente.</v>
      </c>
      <c r="C14" s="180" t="str">
        <f>'[1]2. MATRIZ DE RIESGOS'!J44</f>
        <v>Media</v>
      </c>
      <c r="D14" s="180" t="str">
        <f>'[1]2. MATRIZ DE RIESGOS'!L44</f>
        <v>Moderado</v>
      </c>
      <c r="E14" s="179" t="str">
        <f t="shared" si="0"/>
        <v>Moderado</v>
      </c>
      <c r="F14" s="181"/>
      <c r="G14" s="181"/>
      <c r="H14" s="181"/>
      <c r="I14" s="181"/>
      <c r="J14" s="181"/>
      <c r="K14" s="181"/>
      <c r="L14" s="181"/>
      <c r="M14" s="181"/>
      <c r="N14" s="181"/>
      <c r="R14" s="199" t="s">
        <v>481</v>
      </c>
      <c r="T14" s="166"/>
      <c r="U14" s="166"/>
      <c r="V14" s="166"/>
      <c r="W14" s="166"/>
      <c r="X14" s="166"/>
      <c r="Y14" s="166"/>
      <c r="Z14" s="166"/>
      <c r="AA14" s="177"/>
      <c r="AB14" s="177"/>
      <c r="AC14" s="177"/>
      <c r="AD14" s="185"/>
      <c r="AE14" s="185"/>
      <c r="AF14" s="185"/>
      <c r="AG14" s="185"/>
      <c r="AH14" s="185"/>
      <c r="AI14" s="177"/>
      <c r="AJ14" s="177"/>
    </row>
    <row r="15" spans="1:36" ht="93" customHeight="1" x14ac:dyDescent="0.25">
      <c r="A15" s="178" t="str">
        <f>'[1]2. MATRIZ DE RIESGOS'!A50</f>
        <v>GF20</v>
      </c>
      <c r="B15" s="179" t="str">
        <f>'[1]2. MATRIZ DE RIESGOS'!G50</f>
        <v>Posibilidad de afectación reputacional del Instituto reflejada en la  insatisfacción de la alta dirección por no contar con información contable que revele la realidad económica de la entidad, y necesaria para efectos de control, toma de decisiones y rendición de cuentas, en  hallazgos y sanciones por parte de los entes de control, así como en informes contables y financieros con dictamen negativo o con salvedades por parte de la Contraloría General de Medellín. Lo anterior debido a que la información financiera generada por la entidad no cumple con las características de relevancia y representación fiel de que trata el Régimen de Contabilidad Pública.</v>
      </c>
      <c r="C15" s="180" t="str">
        <f>'[1]2. MATRIZ DE RIESGOS'!J50</f>
        <v>Muy Alta</v>
      </c>
      <c r="D15" s="180" t="str">
        <f>'[1]2. MATRIZ DE RIESGOS'!L50</f>
        <v>Mayor</v>
      </c>
      <c r="E15" s="179" t="str">
        <f t="shared" si="0"/>
        <v>Alto</v>
      </c>
      <c r="F15" s="181"/>
      <c r="G15" s="181"/>
      <c r="H15" s="181"/>
      <c r="I15" s="181"/>
      <c r="J15" s="181"/>
      <c r="K15" s="181"/>
      <c r="L15" s="181"/>
      <c r="M15" s="181"/>
      <c r="N15" s="181"/>
      <c r="R15" s="182" t="s">
        <v>482</v>
      </c>
      <c r="S15" s="166"/>
      <c r="T15" s="166"/>
      <c r="U15" s="166"/>
      <c r="V15" s="166"/>
      <c r="W15" s="166"/>
      <c r="X15" s="166"/>
      <c r="Y15" s="166"/>
      <c r="Z15" s="166"/>
      <c r="AA15" s="177"/>
      <c r="AB15" s="177"/>
      <c r="AC15" s="177"/>
      <c r="AD15" s="185"/>
      <c r="AE15" s="185"/>
      <c r="AF15" s="185"/>
      <c r="AG15" s="185"/>
      <c r="AH15" s="185"/>
      <c r="AI15" s="177"/>
      <c r="AJ15" s="177"/>
    </row>
    <row r="16" spans="1:36" ht="93" customHeight="1" x14ac:dyDescent="0.25">
      <c r="A16" s="178" t="str">
        <f>'[1]2. MATRIZ DE RIESGOS'!A56</f>
        <v>GF26</v>
      </c>
      <c r="B16" s="179" t="str">
        <f>'[1]2. MATRIZ DE RIESGOS'!G56</f>
        <v>Posibilidad de afectación economica y reputacional, por pago de intereses moratorios, sanciones tributarias de la DIAN y el Distrito de Medellín,, asi como por PQRSD de proveedores que expresan su incorformidad relacionada con el no pago o devolución de facturas. Lo anterior, debido a que  los documentos que soportan hechos económicos no son entregados a Contabilidad dentro del tiempo establecido para su causación.</v>
      </c>
      <c r="C16" s="180" t="str">
        <f>'[1]2. MATRIZ DE RIESGOS'!J56</f>
        <v>Alta</v>
      </c>
      <c r="D16" s="180" t="str">
        <f>'[1]2. MATRIZ DE RIESGOS'!L56</f>
        <v>Moderado</v>
      </c>
      <c r="E16" s="179" t="str">
        <f t="shared" si="0"/>
        <v>Alto</v>
      </c>
      <c r="F16" s="181"/>
      <c r="G16" s="181"/>
      <c r="H16" s="181"/>
      <c r="I16" s="181"/>
      <c r="J16" s="181"/>
      <c r="K16" s="181"/>
      <c r="L16" s="181"/>
      <c r="M16" s="181"/>
      <c r="N16" s="181"/>
      <c r="Q16" s="200"/>
      <c r="R16" s="186" t="s">
        <v>125</v>
      </c>
      <c r="S16" s="200"/>
      <c r="T16" s="200"/>
      <c r="U16" s="200"/>
      <c r="V16" s="200"/>
      <c r="W16" s="200"/>
      <c r="X16" s="200"/>
      <c r="Y16" s="200"/>
      <c r="Z16" s="200"/>
      <c r="AA16" s="177"/>
      <c r="AB16" s="177"/>
      <c r="AC16" s="201"/>
      <c r="AD16" s="201"/>
      <c r="AE16" s="201"/>
      <c r="AF16" s="201"/>
      <c r="AG16" s="201"/>
      <c r="AH16" s="201"/>
      <c r="AI16" s="177"/>
      <c r="AJ16" s="177"/>
    </row>
    <row r="17" spans="1:36" ht="93" customHeight="1" x14ac:dyDescent="0.25">
      <c r="A17" s="178" t="str">
        <f>'[1]2. MATRIZ DE RIESGOS'!A60</f>
        <v>GF27</v>
      </c>
      <c r="B17" s="179" t="str">
        <f>'[1]2. MATRIZ DE RIESGOS'!G60</f>
        <v>Posiblidad de afectación reputacional reflejada en la insatisfacción de la alta dirección por no contar con información contable oportuna y necesaria para efectos de control, toma de decisiones y rendición de cuentas así como por hallazgos o sanciones por parte de los entes de control. lo anterior, debido  a que no se cumpla con la elaboración, certificación y publicación de los estados financieros de manera trimestral.</v>
      </c>
      <c r="C17" s="180" t="str">
        <f>'[1]2. MATRIZ DE RIESGOS'!J60</f>
        <v>Baja</v>
      </c>
      <c r="D17" s="180" t="str">
        <f>'[1]2. MATRIZ DE RIESGOS'!L60</f>
        <v>Mayor</v>
      </c>
      <c r="E17" s="179" t="str">
        <f t="shared" si="0"/>
        <v>Alto</v>
      </c>
      <c r="F17" s="181"/>
      <c r="G17" s="181"/>
      <c r="H17" s="181"/>
      <c r="I17" s="181"/>
      <c r="J17" s="181"/>
      <c r="K17" s="181"/>
      <c r="L17" s="181"/>
      <c r="M17" s="181"/>
      <c r="N17" s="181"/>
      <c r="Q17" s="200"/>
      <c r="R17" s="190" t="s">
        <v>483</v>
      </c>
      <c r="Y17" s="200"/>
      <c r="Z17" s="200"/>
      <c r="AA17" s="177"/>
      <c r="AB17" s="177"/>
      <c r="AC17" s="177"/>
      <c r="AD17" s="185"/>
      <c r="AE17" s="185"/>
      <c r="AF17" s="185"/>
      <c r="AG17" s="185"/>
      <c r="AH17" s="185"/>
      <c r="AI17" s="177"/>
      <c r="AJ17" s="177"/>
    </row>
    <row r="18" spans="1:36" ht="93" customHeight="1" x14ac:dyDescent="0.25">
      <c r="A18" s="178" t="str">
        <f>'[1]2. MATRIZ DE RIESGOS'!A64</f>
        <v>GF28</v>
      </c>
      <c r="B18" s="179" t="str">
        <f>'[1]2. MATRIZ DE RIESGOS'!G64</f>
        <v>Posiblidad de afectación reputacional reflejada en insatisfacción de la alta dirección por no contar con información contable precisa para efectos de control, toma de decisiones y rendición de cuentas así como hallazgos por parte de los entes de control, debido a que existan diferencias entre la información contable prensentada a la CGN a través del CHIP y la del sistema de información contable de la entidad.</v>
      </c>
      <c r="C18" s="180" t="str">
        <f>'[1]2. MATRIZ DE RIESGOS'!J64</f>
        <v>Alta</v>
      </c>
      <c r="D18" s="180" t="str">
        <f>'[1]2. MATRIZ DE RIESGOS'!L64</f>
        <v>Mayor</v>
      </c>
      <c r="E18" s="179" t="str">
        <f t="shared" si="0"/>
        <v>Alto</v>
      </c>
      <c r="F18" s="181"/>
      <c r="G18" s="181"/>
      <c r="H18" s="181"/>
      <c r="I18" s="181"/>
      <c r="J18" s="181"/>
      <c r="K18" s="181"/>
      <c r="L18" s="181"/>
      <c r="M18" s="181"/>
      <c r="N18" s="181"/>
      <c r="O18" s="202"/>
      <c r="P18" s="202"/>
      <c r="Q18" s="200"/>
      <c r="Y18" s="200"/>
      <c r="Z18" s="200"/>
      <c r="AA18" s="177"/>
      <c r="AB18" s="177"/>
      <c r="AC18" s="177"/>
      <c r="AD18" s="185"/>
      <c r="AE18" s="185"/>
      <c r="AF18" s="185"/>
      <c r="AG18" s="185"/>
      <c r="AH18" s="185"/>
      <c r="AI18" s="177"/>
      <c r="AJ18" s="177"/>
    </row>
    <row r="19" spans="1:36" ht="93" customHeight="1" x14ac:dyDescent="0.25">
      <c r="A19" s="178" t="str">
        <f>'[1]2. MATRIZ DE RIESGOS'!A67</f>
        <v>GF29</v>
      </c>
      <c r="B19" s="179" t="str">
        <f>'[1]2. MATRIZ DE RIESGOS'!G67</f>
        <v>Posiblidad de afectación económica y reputacional, reflejada en multas y sanciones por parte de la DIAN y el Distrito de Medellín así como por hallazgos de los Entes de Control, debido a que no se cumpla el cronograma de pago de impuestos.</v>
      </c>
      <c r="C19" s="180" t="str">
        <f>'[1]2. MATRIZ DE RIESGOS'!J67</f>
        <v>Media</v>
      </c>
      <c r="D19" s="180" t="str">
        <f>'[1]2. MATRIZ DE RIESGOS'!L67</f>
        <v>Mayor</v>
      </c>
      <c r="E19" s="179" t="str">
        <f t="shared" si="0"/>
        <v>Alto</v>
      </c>
      <c r="F19" s="181"/>
      <c r="G19" s="181"/>
      <c r="H19" s="181"/>
      <c r="I19" s="181"/>
      <c r="J19" s="181"/>
      <c r="K19" s="181"/>
      <c r="L19" s="181"/>
      <c r="M19" s="181"/>
      <c r="N19" s="181"/>
      <c r="O19" s="202"/>
      <c r="P19" s="202"/>
      <c r="Q19" s="203"/>
      <c r="Y19" s="200"/>
      <c r="Z19" s="200"/>
      <c r="AA19" s="177"/>
      <c r="AB19" s="198"/>
      <c r="AC19" s="198"/>
      <c r="AD19" s="198"/>
      <c r="AE19" s="198"/>
      <c r="AF19" s="198"/>
      <c r="AG19" s="198"/>
      <c r="AH19" s="185"/>
      <c r="AI19" s="177"/>
      <c r="AJ19" s="177"/>
    </row>
    <row r="20" spans="1:36" ht="93" customHeight="1" x14ac:dyDescent="0.25">
      <c r="A20" s="178" t="str">
        <f>'[1]2. MATRIZ DE RIESGOS'!A73</f>
        <v>GF32</v>
      </c>
      <c r="B20" s="179" t="str">
        <f>'[1]2. MATRIZ DE RIESGOS'!G73</f>
        <v xml:space="preserve">Posibilidad de afectación económica reflejada en multas y sanciones a cargo del Instituto asi como afectación de la calidad de la información contable en lo que respecta a su veracidad y confiabilidad derivando en Hallazgos de los Entes de Control. Lo anterior, debido a la inexactitud en los saldos de la cuentas de Recursos Entregados en Administración por diferencias no justificadas entre los saldos del Estado de Situación Financiera a diciembre 31 de cada vigencia y los saldos de los reportes por operaciones recíprocas de las Entidades contratistas.
</v>
      </c>
      <c r="C20" s="180" t="str">
        <f>'[1]2. MATRIZ DE RIESGOS'!J73</f>
        <v>Media</v>
      </c>
      <c r="D20" s="180" t="str">
        <f>'[1]2. MATRIZ DE RIESGOS'!L73</f>
        <v>Moderado</v>
      </c>
      <c r="E20" s="179" t="str">
        <f t="shared" si="0"/>
        <v>Moderado</v>
      </c>
      <c r="F20" s="181"/>
      <c r="G20" s="181"/>
      <c r="H20" s="181"/>
      <c r="I20" s="181"/>
      <c r="J20" s="181"/>
      <c r="K20" s="181"/>
      <c r="L20" s="181"/>
      <c r="M20" s="181"/>
      <c r="N20" s="181"/>
      <c r="O20" s="202"/>
      <c r="P20" s="202"/>
      <c r="AA20" s="177"/>
      <c r="AB20" s="204"/>
      <c r="AC20" s="204"/>
      <c r="AD20" s="204"/>
      <c r="AE20" s="204"/>
      <c r="AF20" s="204"/>
      <c r="AG20" s="204"/>
      <c r="AH20" s="185"/>
      <c r="AI20" s="177"/>
      <c r="AJ20" s="177"/>
    </row>
    <row r="21" spans="1:36" ht="93" customHeight="1" x14ac:dyDescent="0.25">
      <c r="A21" s="178" t="str">
        <f>'[1]2. MATRIZ DE RIESGOS'!A76</f>
        <v>GF34</v>
      </c>
      <c r="B21" s="179" t="str">
        <f>'[1]2. MATRIZ DE RIESGOS'!G76</f>
        <v>Posibilidad de afectación reputacional reflejada en hallazgos por parte de los entes de control debido a la existencia de diferencias de información de los activos de bienes inmuebles de la entidad entre libros contables e inventarios físicos que derivan en la sobreestimación o subestimación de la cuenta de inventarios.</v>
      </c>
      <c r="C21" s="180" t="str">
        <f>'[1]2. MATRIZ DE RIESGOS'!J76</f>
        <v>media</v>
      </c>
      <c r="D21" s="180" t="str">
        <f>'[1]2. MATRIZ DE RIESGOS'!L76</f>
        <v>moderado</v>
      </c>
      <c r="E21" s="179" t="str">
        <f t="shared" si="0"/>
        <v>Moderado</v>
      </c>
      <c r="F21" s="181"/>
      <c r="G21" s="181"/>
      <c r="H21" s="181"/>
      <c r="I21" s="181"/>
      <c r="J21" s="181"/>
      <c r="K21" s="181"/>
      <c r="L21" s="181"/>
      <c r="M21" s="181"/>
      <c r="N21" s="181"/>
      <c r="O21" s="202"/>
      <c r="P21" s="202"/>
      <c r="AA21" s="177"/>
      <c r="AB21" s="198"/>
      <c r="AC21" s="198"/>
      <c r="AD21" s="198"/>
      <c r="AE21" s="198"/>
      <c r="AF21" s="198"/>
      <c r="AG21" s="198"/>
      <c r="AH21" s="185"/>
      <c r="AI21" s="177"/>
      <c r="AJ21" s="177"/>
    </row>
    <row r="22" spans="1:36" ht="93" customHeight="1" x14ac:dyDescent="0.25">
      <c r="A22" s="178" t="str">
        <f>'[1]2. MATRIZ DE RIESGOS'!A79</f>
        <v>GF22</v>
      </c>
      <c r="B22" s="179" t="str">
        <f>'[1]2. MATRIZ DE RIESGOS'!G79</f>
        <v>Posibilidad de afectación económica del Instituto por multas y sanciones aplicadas por los entes de control, debido a la no rendición y/o rendición extemporánea de informes de ley.</v>
      </c>
      <c r="C22" s="180" t="str">
        <f>'[1]2. MATRIZ DE RIESGOS'!J79</f>
        <v>Media</v>
      </c>
      <c r="D22" s="180" t="str">
        <f>'[1]2. MATRIZ DE RIESGOS'!L79</f>
        <v>Moderado</v>
      </c>
      <c r="E22" s="179" t="str">
        <f t="shared" si="0"/>
        <v>Moderado</v>
      </c>
      <c r="F22" s="181"/>
      <c r="G22" s="181"/>
      <c r="H22" s="181"/>
      <c r="I22" s="181"/>
      <c r="J22" s="181"/>
      <c r="K22" s="181"/>
      <c r="L22" s="181"/>
      <c r="M22" s="181"/>
      <c r="N22" s="181"/>
      <c r="AA22" s="177"/>
      <c r="AB22" s="198"/>
      <c r="AC22" s="198"/>
      <c r="AD22" s="198"/>
      <c r="AE22" s="198"/>
      <c r="AF22" s="198"/>
      <c r="AG22" s="198"/>
      <c r="AH22" s="185"/>
      <c r="AI22" s="177"/>
      <c r="AJ22" s="177"/>
    </row>
    <row r="23" spans="1:36" ht="93" customHeight="1" x14ac:dyDescent="0.3">
      <c r="A23" s="178" t="str">
        <f>'[1]2. MATRIZ DE RIESGOS'!A84</f>
        <v>GF23</v>
      </c>
      <c r="B23" s="179" t="str">
        <f>'[1]2. MATRIZ DE RIESGOS'!G84</f>
        <v>Posibilidad de afectación económica y reputacional, por mal desempeño institucional derivado del incumplimiento de metas relacionadas con el Plan de Desarrollo Municipal a cargo del Instituto, así como por sanciones económicas, disciplinarias y/o penales por parte de los entes de control. Lo anterior debido a una asignación presupuestal errónea, que incumple los parámetros legales y contractuales establecidos</v>
      </c>
      <c r="C23" s="180" t="str">
        <f>'[1]2. MATRIZ DE RIESGOS'!J84</f>
        <v>Media</v>
      </c>
      <c r="D23" s="180" t="str">
        <f>'[1]2. MATRIZ DE RIESGOS'!L84</f>
        <v>Catastrófico</v>
      </c>
      <c r="E23" s="179" t="str">
        <f t="shared" si="0"/>
        <v>Extremo</v>
      </c>
      <c r="F23" s="181"/>
      <c r="G23" s="181"/>
      <c r="H23" s="181"/>
      <c r="I23" s="181"/>
      <c r="J23" s="181"/>
      <c r="K23" s="181"/>
      <c r="L23" s="181"/>
      <c r="M23" s="181"/>
      <c r="N23" s="181"/>
    </row>
    <row r="24" spans="1:36" ht="93" customHeight="1" x14ac:dyDescent="0.3">
      <c r="A24" s="178" t="str">
        <f>'[1]2. MATRIZ DE RIESGOS'!A90</f>
        <v>GF24</v>
      </c>
      <c r="B24" s="179" t="str">
        <f>'[1]2. MATRIZ DE RIESGOS'!G90</f>
        <v xml:space="preserve">Posibilidad de afectación economica y reputacional reflejada en: 
1. baja ejecución presupuestal que podría conllevar a unareducción del presupuesto inicialmente asignado y/o  congelación o no giro de la transferencias distritales. 2. requerimientos del Distrito, el Consejo Distrital y/o entes de control derivados del
incumplimiento de metas de Plan de Desarrollo. 3. requerimientos por parte de la comunidad en relación con el incumplimiento en la prestación de los serviciós del Instituto y 4 requerimientos por parte de los contratistas en relación con el incumplimiento de las obligaciones contractuales a cargo del Instituto.
Lo anterior, debido a que no se generen alertas oportunas por parte del area de Presupuesto con relación a la ejecución presupuestal. </v>
      </c>
      <c r="C24" s="180" t="str">
        <f>'[1]2. MATRIZ DE RIESGOS'!J90</f>
        <v>Media</v>
      </c>
      <c r="D24" s="180" t="str">
        <f>'[1]2. MATRIZ DE RIESGOS'!L90</f>
        <v>Mayor</v>
      </c>
      <c r="E24" s="179" t="str">
        <f t="shared" si="0"/>
        <v>Alto</v>
      </c>
      <c r="F24" s="181"/>
      <c r="G24" s="181"/>
      <c r="H24" s="181"/>
      <c r="I24" s="181"/>
      <c r="J24" s="181"/>
      <c r="K24" s="181"/>
      <c r="L24" s="181"/>
      <c r="M24" s="181"/>
      <c r="N24" s="181"/>
    </row>
    <row r="25" spans="1:36" ht="93" customHeight="1" x14ac:dyDescent="0.3">
      <c r="A25" s="178" t="str">
        <f>'[1]2. MATRIZ DE RIESGOS'!A92</f>
        <v>GF25</v>
      </c>
      <c r="B25" s="179" t="str">
        <f>'[1]2. MATRIZ DE RIESGOS'!G92</f>
        <v>Posiblidad de afectación reputacional por incumplimiento en la ejecución presupuestal de ingresos y gastos proyectada, debido a la existencia de traslados presupuestales por rubros deficitados sin justificación valida</v>
      </c>
      <c r="C25" s="180" t="str">
        <f>'[1]2. MATRIZ DE RIESGOS'!J92</f>
        <v>Baja</v>
      </c>
      <c r="D25" s="180" t="str">
        <f>'[1]2. MATRIZ DE RIESGOS'!L92</f>
        <v>Moderado</v>
      </c>
      <c r="E25" s="179" t="str">
        <f t="shared" si="0"/>
        <v>Moderado</v>
      </c>
      <c r="F25" s="181"/>
      <c r="G25" s="181"/>
      <c r="H25" s="181"/>
      <c r="I25" s="181"/>
      <c r="J25" s="181"/>
      <c r="K25" s="181"/>
      <c r="L25" s="181"/>
      <c r="M25" s="181"/>
      <c r="N25" s="181"/>
    </row>
    <row r="26" spans="1:36" ht="93" customHeight="1" x14ac:dyDescent="0.3">
      <c r="A26" s="178" t="str">
        <f>'[1]2. MATRIZ DE RIESGOS'!A94</f>
        <v>GF26</v>
      </c>
      <c r="B26" s="179" t="str">
        <f>'[1]2. MATRIZ DE RIESGOS'!G94</f>
        <v>Posibilidad de afectación reputacional y económical reflejada en hallazgos de los entes de control asi como el pago de intereses de mora, debido a  el pago inoportuno de las comisiones fiduciarias de acuerdo con los términos establecidos en el contrato fiduciario.</v>
      </c>
      <c r="C26" s="180" t="str">
        <f>'[1]2. MATRIZ DE RIESGOS'!J94</f>
        <v>Media</v>
      </c>
      <c r="D26" s="180" t="str">
        <f>'[1]2. MATRIZ DE RIESGOS'!L94</f>
        <v>Moderado</v>
      </c>
      <c r="E26" s="179" t="str">
        <f t="shared" si="0"/>
        <v>Moderado</v>
      </c>
      <c r="F26" s="181"/>
      <c r="G26" s="181"/>
      <c r="H26" s="181"/>
      <c r="I26" s="181"/>
      <c r="J26" s="181"/>
      <c r="K26" s="181"/>
      <c r="L26" s="181"/>
      <c r="M26" s="181"/>
      <c r="N26" s="181"/>
    </row>
    <row r="27" spans="1:36" ht="115.2" customHeight="1" x14ac:dyDescent="0.3">
      <c r="A27" s="178" t="str">
        <f>'[1]2. MATRIZ DE RIESGOS'!A97</f>
        <v>GF27</v>
      </c>
      <c r="B27" s="179" t="str">
        <f>'[1]2. MATRIZ DE RIESGOS'!G97</f>
        <v xml:space="preserve">Posibilidad de afectación económica y reputacional reflejada en el 
detrimento patrimonial derivado de la perdida de competencia para recuperar los recursos, asi como por hallazgos de los entes de control fiscal, debido a que los pagos que se realicen en el desarrollo de los contratos fiduciarios no se encuentren deibidamente soportados. </v>
      </c>
      <c r="C27" s="180" t="str">
        <f>'[1]2. MATRIZ DE RIESGOS'!J97</f>
        <v>Alta</v>
      </c>
      <c r="D27" s="180" t="str">
        <f>'[1]2. MATRIZ DE RIESGOS'!L97</f>
        <v>Mayor</v>
      </c>
      <c r="E27" s="179" t="str">
        <f>+IF(C27=$Q$7,IF(D27=$R$6,$R$7,IF(D27=$S$6,$S$7,IF(D27=$T$6,$T$7,IF(D27=$U$6,$U$7,IF(D27=$V$6,$V$7))))),IF(C27=$Q$8,IF(D27=$R$6,$R$8,IF(D27=$S$6,$S$8,IF(D27=$T$6,$T$8,IF(D27=$U$6,$U$8,IF(D27=$V$6,$V$8))))),IF(C27=$Q$9,IF(D27=$R$6,$R$9,IF(D27=$S$6,$S$9,IF(D27=$T$6,$T$9,IF(D27=$U$6,$U$9,IF(D27=$V$6,$V$9))))),IF(C27=$Q$10,IF(D27=$R$6,$R$10,IF(D27=$S$6,$S$10,IF(D27=$T$6,$T$10,IF(D27=$U$6,$U$10,IF(D27=$V$6,$V$10))))),IF(C27=$Q$11,IF(D27=$R$6,$R$11,IF(D27=$S$6,$S$11,IF(D27=$T$6,$T$11,IF(D27=$U$6,$U$11,IF(D27=$V$6,$V$11))))),"")))))</f>
        <v>Alto</v>
      </c>
      <c r="F27" s="163"/>
      <c r="G27" s="163"/>
      <c r="H27" s="163"/>
      <c r="I27" s="163"/>
      <c r="J27" s="163"/>
      <c r="K27" s="163"/>
      <c r="L27" s="163"/>
      <c r="M27" s="163"/>
      <c r="N27" s="163"/>
      <c r="Y27" s="167"/>
      <c r="Z27" s="167"/>
      <c r="AA27" s="167"/>
      <c r="AB27" s="167"/>
      <c r="AC27" s="167"/>
      <c r="AD27" s="163"/>
      <c r="AE27" s="163"/>
      <c r="AF27" s="163"/>
      <c r="AG27" s="163"/>
      <c r="AH27" s="163"/>
    </row>
    <row r="28" spans="1:36" ht="134.4" customHeight="1" x14ac:dyDescent="0.3">
      <c r="A28" s="178" t="str">
        <f>'[1]2. MATRIZ DE RIESGOS'!A100</f>
        <v>GF28</v>
      </c>
      <c r="B28" s="179" t="str">
        <f>'[1]2. MATRIZ DE RIESGOS'!G100</f>
        <v>Posilbidad de afectación reputacional del Instituto reflejada en requerimientos por parte de la Secretaría de Hacienda del Distrito asi como hallazgos por parte de la Contraloría Distrital de Medellín, debido a que no se restituyan los rendimientos financieros de la totalidad de las cuentas de los negocios fiduciarios de manera oportuna y en cumplimiento de los lineamientos establecidos en los contratos matriz y la normatividad aplicable.</v>
      </c>
      <c r="C28" s="180" t="str">
        <f>'[1]2. MATRIZ DE RIESGOS'!J100</f>
        <v>Alta</v>
      </c>
      <c r="D28" s="180" t="str">
        <f>'[1]2. MATRIZ DE RIESGOS'!L100</f>
        <v>Moderado</v>
      </c>
      <c r="E28" s="179" t="str">
        <f>+IF(C28=$Q$7,IF(D28=$R$6,$R$7,IF(D28=$S$6,$S$7,IF(D28=$T$6,$T$7,IF(D28=$U$6,$U$7,IF(D28=$V$6,$V$7))))),IF(C28=$Q$8,IF(D28=$R$6,$R$8,IF(D28=$S$6,$S$8,IF(D28=$T$6,$T$8,IF(D28=$U$6,$U$8,IF(D28=$V$6,$V$8))))),IF(C28=$Q$9,IF(D28=$R$6,$R$9,IF(D28=$S$6,$S$9,IF(D28=$T$6,$T$9,IF(D28=$U$6,$U$9,IF(D28=$V$6,$V$9))))),IF(C28=$Q$10,IF(D28=$R$6,$R$10,IF(D28=$S$6,$S$10,IF(D28=$T$6,$T$10,IF(D28=$U$6,$U$10,IF(D28=$V$6,$V$10))))),IF(C28=$Q$11,IF(D28=$R$6,$R$11,IF(D28=$S$6,$S$11,IF(D28=$T$6,$T$11,IF(D28=$U$6,$U$11,IF(D28=$V$6,$V$11))))),"")))))</f>
        <v>Alto</v>
      </c>
      <c r="F28" s="163"/>
      <c r="G28" s="163"/>
      <c r="H28" s="163"/>
      <c r="I28" s="163"/>
      <c r="J28" s="163"/>
      <c r="K28" s="163"/>
      <c r="L28" s="163"/>
      <c r="M28" s="163"/>
      <c r="N28" s="163"/>
      <c r="Y28" s="167"/>
      <c r="Z28" s="167"/>
      <c r="AA28" s="167"/>
      <c r="AB28" s="167"/>
      <c r="AC28" s="167"/>
      <c r="AD28" s="163"/>
      <c r="AE28" s="163"/>
      <c r="AF28" s="163"/>
      <c r="AG28" s="163"/>
      <c r="AH28" s="163"/>
    </row>
    <row r="29" spans="1:36" ht="80.400000000000006" customHeight="1" x14ac:dyDescent="0.3">
      <c r="A29" s="178" t="str">
        <f>'[1]2. MATRIZ DE RIESGOS'!A103</f>
        <v>GF29</v>
      </c>
      <c r="B29" s="179" t="str">
        <f>'[1]2. MATRIZ DE RIESGOS'!G103</f>
        <v>Posilbidad de afectación reputacional reflejada en hallazgos por parte de los entes de control, debido a la existencia de  diferencias entre los saldos de cada cuenta fiduciaria y lo registrado en contablidad.</v>
      </c>
      <c r="C29" s="180" t="str">
        <f>'[1]2. MATRIZ DE RIESGOS'!J103</f>
        <v>Media</v>
      </c>
      <c r="D29" s="180" t="str">
        <f>'[1]2. MATRIZ DE RIESGOS'!L103</f>
        <v>Moderado</v>
      </c>
      <c r="E29" s="179" t="str">
        <f>+IF(C29=$Q$7,IF(D29=$R$6,$R$7,IF(D29=$S$6,$S$7,IF(D29=$T$6,$T$7,IF(D29=$U$6,$U$7,IF(D29=$V$6,$V$7))))),IF(C29=$Q$8,IF(D29=$R$6,$R$8,IF(D29=$S$6,$S$8,IF(D29=$T$6,$T$8,IF(D29=$U$6,$U$8,IF(D29=$V$6,$V$8))))),IF(C29=$Q$9,IF(D29=$R$6,$R$9,IF(D29=$S$6,$S$9,IF(D29=$T$6,$T$9,IF(D29=$U$6,$U$9,IF(D29=$V$6,$V$9))))),IF(C29=$Q$10,IF(D29=$R$6,$R$10,IF(D29=$S$6,$S$10,IF(D29=$T$6,$T$10,IF(D29=$U$6,$U$10,IF(D29=$V$6,$V$10))))),IF(C29=$Q$11,IF(D29=$R$6,$R$11,IF(D29=$S$6,$S$11,IF(D29=$T$6,$T$11,IF(D29=$U$6,$U$11,IF(D29=$V$6,$V$11))))),"")))))</f>
        <v>Moderado</v>
      </c>
      <c r="F29" s="163"/>
      <c r="G29" s="163"/>
      <c r="H29" s="163"/>
      <c r="I29" s="163"/>
      <c r="J29" s="163"/>
      <c r="K29" s="163"/>
      <c r="L29" s="163"/>
      <c r="M29" s="163"/>
      <c r="N29" s="163"/>
      <c r="Y29" s="167"/>
      <c r="Z29" s="167"/>
      <c r="AA29" s="167"/>
      <c r="AB29" s="167"/>
      <c r="AC29" s="167"/>
      <c r="AD29" s="163"/>
      <c r="AE29" s="163"/>
      <c r="AF29" s="163"/>
      <c r="AG29" s="163"/>
      <c r="AH29" s="163"/>
    </row>
    <row r="30" spans="1:36" ht="80.400000000000006" customHeight="1" x14ac:dyDescent="0.3">
      <c r="A30" s="178" t="str">
        <f>'[1]2. MATRIZ DE RIESGOS'!A105</f>
        <v>GF30</v>
      </c>
      <c r="B30" s="179" t="str">
        <f>'[1]2. MATRIZ DE RIESGOS'!G105</f>
        <v>Posilbidad de afectación reputacional por hallazgos por parte de los entes de control, debido a que existan diferencias entre la información financiera relacionada con ingresos y egresos de las subcuentas del contrato a liquidar con los documentos que la soportan, de manera que no permitan la liquidación del mismo.
Nota:los documentos soportes se refieren a: los movimientos de los extractos, soportes de pago, contrato inicial y modificaciones, e informe de supervisión</v>
      </c>
      <c r="C30" s="180" t="str">
        <f>'[1]2. MATRIZ DE RIESGOS'!J105</f>
        <v>Media</v>
      </c>
      <c r="D30" s="180" t="str">
        <f>'[1]2. MATRIZ DE RIESGOS'!L105</f>
        <v>Moderado</v>
      </c>
      <c r="E30" s="179" t="str">
        <f>+IF(C30=$Q$7,IF(D30=$R$6,$R$7,IF(D30=$S$6,$S$7,IF(D30=$T$6,$T$7,IF(D30=$U$6,$U$7,IF(D30=$V$6,$V$7))))),IF(C30=$Q$8,IF(D30=$R$6,$R$8,IF(D30=$S$6,$S$8,IF(D30=$T$6,$T$8,IF(D30=$U$6,$U$8,IF(D30=$V$6,$V$8))))),IF(C30=$Q$9,IF(D30=$R$6,$R$9,IF(D30=$S$6,$S$9,IF(D30=$T$6,$T$9,IF(D30=$U$6,$U$9,IF(D30=$V$6,$V$9))))),IF(C30=$Q$10,IF(D30=$R$6,$R$10,IF(D30=$S$6,$S$10,IF(D30=$T$6,$T$10,IF(D30=$U$6,$U$10,IF(D30=$V$6,$V$10))))),IF(C30=$Q$11,IF(D30=$R$6,$R$11,IF(D30=$S$6,$S$11,IF(D30=$T$6,$T$11,IF(D30=$U$6,$U$11,IF(D30=$V$6,$V$11))))),"")))))</f>
        <v>Moderado</v>
      </c>
      <c r="F30" s="163"/>
      <c r="G30" s="163"/>
      <c r="H30" s="163"/>
      <c r="I30" s="163"/>
      <c r="J30" s="163"/>
      <c r="K30" s="163"/>
      <c r="L30" s="163"/>
      <c r="M30" s="163"/>
      <c r="N30" s="163"/>
      <c r="Y30" s="167"/>
      <c r="Z30" s="167"/>
      <c r="AA30" s="167"/>
      <c r="AB30" s="167"/>
      <c r="AC30" s="167"/>
      <c r="AD30" s="163"/>
      <c r="AE30" s="163"/>
      <c r="AF30" s="163"/>
      <c r="AG30" s="163"/>
      <c r="AH30" s="163"/>
    </row>
    <row r="31" spans="1:36" ht="80.400000000000006" customHeight="1" x14ac:dyDescent="0.3">
      <c r="A31" s="178" t="str">
        <f>'[1]2. MATRIZ DE RIESGOS'!A107</f>
        <v>GF31</v>
      </c>
      <c r="B31" s="179" t="str">
        <f>'[1]2. MATRIZ DE RIESGOS'!G107</f>
        <v xml:space="preserve">Posibilidad de afectación reputacional del Instituto reflejada en PQRS por parte de acreedores y contratistas en razón de la demora en los pagos así como por hallazgos por de los entes de control, debido a se que realicen pagos utilizando recursos de patrimonios autónomos no asignados a un proyecto específico, afectando pagos de otros proyectos. </v>
      </c>
      <c r="C31" s="180" t="str">
        <f>'[1]2. MATRIZ DE RIESGOS'!J107</f>
        <v>Media</v>
      </c>
      <c r="D31" s="180" t="str">
        <f>'[1]2. MATRIZ DE RIESGOS'!L107</f>
        <v>Moderado</v>
      </c>
      <c r="E31" s="179" t="str">
        <f>+IF(C31=$Q$7,IF(D31=$R$6,$R$7,IF(D31=$S$6,$S$7,IF(D31=$T$6,$T$7,IF(D31=$U$6,$U$7,IF(D31=$V$6,$V$7))))),IF(C31=$Q$8,IF(D31=$R$6,$R$8,IF(D31=$S$6,$S$8,IF(D31=$T$6,$T$8,IF(D31=$U$6,$U$8,IF(D31=$V$6,$V$8))))),IF(C31=$Q$9,IF(D31=$R$6,$R$9,IF(D31=$S$6,$S$9,IF(D31=$T$6,$T$9,IF(D31=$U$6,$U$9,IF(D31=$V$6,$V$9))))),IF(C31=$Q$10,IF(D31=$R$6,$R$10,IF(D31=$S$6,$S$10,IF(D31=$T$6,$T$10,IF(D31=$U$6,$U$10,IF(D31=$V$6,$V$10))))),IF(C31=$Q$11,IF(D31=$R$6,$R$11,IF(D31=$S$6,$S$11,IF(D31=$T$6,$T$11,IF(D31=$U$6,$U$11,IF(D31=$V$6,$V$11))))),"")))))</f>
        <v>Moderado</v>
      </c>
      <c r="F31" s="163"/>
      <c r="G31" s="163"/>
      <c r="H31" s="163"/>
      <c r="I31" s="163"/>
      <c r="J31" s="163"/>
      <c r="K31" s="163"/>
      <c r="L31" s="163"/>
      <c r="M31" s="163"/>
      <c r="N31" s="163"/>
      <c r="Y31" s="167"/>
      <c r="Z31" s="167"/>
      <c r="AA31" s="167"/>
      <c r="AB31" s="167"/>
      <c r="AC31" s="167"/>
      <c r="AD31" s="163"/>
      <c r="AE31" s="163"/>
      <c r="AF31" s="163"/>
      <c r="AG31" s="163"/>
      <c r="AH31" s="163"/>
    </row>
    <row r="32" spans="1:36" ht="19.5" customHeight="1" x14ac:dyDescent="0.3">
      <c r="B32" s="163"/>
      <c r="D32" s="163"/>
      <c r="E32" s="163"/>
      <c r="F32" s="163"/>
      <c r="G32" s="163"/>
      <c r="H32" s="163"/>
      <c r="I32" s="163"/>
      <c r="J32" s="163"/>
      <c r="K32" s="163"/>
      <c r="L32" s="163"/>
      <c r="M32" s="163"/>
      <c r="N32" s="163"/>
      <c r="Y32" s="167"/>
      <c r="Z32" s="167"/>
      <c r="AA32" s="167"/>
      <c r="AB32" s="167"/>
      <c r="AC32" s="167"/>
      <c r="AD32" s="163"/>
      <c r="AE32" s="163"/>
      <c r="AF32" s="163"/>
      <c r="AG32" s="163"/>
      <c r="AH32" s="163"/>
    </row>
    <row r="33" spans="25:29" s="163" customFormat="1" ht="19.5" customHeight="1" x14ac:dyDescent="0.3">
      <c r="Y33" s="167"/>
      <c r="Z33" s="167"/>
      <c r="AA33" s="167"/>
      <c r="AB33" s="167"/>
      <c r="AC33" s="167"/>
    </row>
  </sheetData>
  <sheetProtection formatCells="0" formatColumns="0" formatRows="0" sort="0" autoFilter="0" pivotTables="0"/>
  <dataConsolidate link="1"/>
  <mergeCells count="8">
    <mergeCell ref="G7:G11"/>
    <mergeCell ref="O7:O11"/>
    <mergeCell ref="A1:D1"/>
    <mergeCell ref="B3:D3"/>
    <mergeCell ref="G4:M4"/>
    <mergeCell ref="R4:V4"/>
    <mergeCell ref="C5:E5"/>
    <mergeCell ref="I5:M5"/>
  </mergeCells>
  <conditionalFormatting sqref="C7:C31">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31">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31">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B6:JH6" xr:uid="{58105785-13DC-4E14-8B1A-B3FE676C0710}"/>
    <dataValidation allowBlank="1" showInputMessage="1" showErrorMessage="1" prompt="La probabilidad se encuentra determinada por una escala de 1 a 3, siendo 1 la menor probabilidad de ocurrencia del riesgo y 3 la mayor probabilidad de  ocurrencia." sqref="JA6" xr:uid="{A33ED7F8-3B52-4B5B-9606-A08A2DA207F5}"/>
    <dataValidation type="list" allowBlank="1" showInputMessage="1" showErrorMessage="1" sqref="JB7:JH14" xr:uid="{42AA1297-6F84-4277-B132-59FBCF72B324}">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FF763-742B-4576-A9D7-823197BA9BED}">
  <dimension ref="A1:XFC36"/>
  <sheetViews>
    <sheetView showGridLines="0" topLeftCell="A11" zoomScale="85" zoomScaleNormal="85" workbookViewId="0">
      <selection activeCell="O11" sqref="O11"/>
    </sheetView>
  </sheetViews>
  <sheetFormatPr baseColWidth="10" defaultColWidth="14.44140625" defaultRowHeight="13.2" customHeight="1" zeroHeight="1" x14ac:dyDescent="0.3"/>
  <cols>
    <col min="1" max="1" width="16.109375" style="163" customWidth="1"/>
    <col min="2" max="2" width="40.6640625" style="167" customWidth="1"/>
    <col min="3" max="3" width="13.44140625" style="167" customWidth="1"/>
    <col min="4" max="4" width="13" style="167" customWidth="1"/>
    <col min="5" max="5" width="16.44140625" style="213" customWidth="1"/>
    <col min="6" max="6" width="11.21875" style="213" customWidth="1"/>
    <col min="7" max="7" width="15.44140625" style="167" customWidth="1"/>
    <col min="8" max="8" width="10.21875" style="167" bestFit="1" customWidth="1"/>
    <col min="9" max="9" width="7.44140625" style="167" customWidth="1"/>
    <col min="10" max="10" width="14" style="167" customWidth="1"/>
    <col min="11" max="15" width="12.44140625" style="167" customWidth="1"/>
    <col min="16" max="16" width="3.77734375" style="167" customWidth="1"/>
    <col min="17" max="17" width="4.77734375" style="163" hidden="1" customWidth="1"/>
    <col min="18" max="18" width="5.77734375" style="163" hidden="1" customWidth="1"/>
    <col min="19" max="24" width="14" style="163" hidden="1" customWidth="1"/>
    <col min="25" max="25" width="11.44140625" style="163" customWidth="1"/>
    <col min="26" max="29" width="11.44140625" style="163" hidden="1" customWidth="1"/>
    <col min="30" max="30" width="5.44140625" style="163" hidden="1" customWidth="1"/>
    <col min="31" max="31" width="26.77734375" style="163" hidden="1" customWidth="1"/>
    <col min="32" max="36" width="22.77734375" style="167" hidden="1" customWidth="1"/>
    <col min="37" max="37" width="23.44140625" style="163" hidden="1" customWidth="1"/>
    <col min="38" max="265" width="11.44140625" style="163" hidden="1" customWidth="1"/>
    <col min="266" max="266" width="12.44140625" style="163" hidden="1" customWidth="1"/>
    <col min="267" max="267" width="47" style="163" hidden="1" customWidth="1"/>
    <col min="268" max="268" width="35" style="163" hidden="1" customWidth="1"/>
    <col min="269" max="16383" width="14.44140625" style="163"/>
    <col min="16384" max="16384" width="14.44140625" style="163" hidden="1" customWidth="1"/>
  </cols>
  <sheetData>
    <row r="1" spans="1:38" s="143" customFormat="1" ht="72" customHeight="1" x14ac:dyDescent="0.25">
      <c r="A1" s="450" t="s">
        <v>717</v>
      </c>
      <c r="B1" s="450"/>
      <c r="C1" s="450"/>
      <c r="D1" s="450"/>
      <c r="E1" s="205"/>
      <c r="G1" s="147"/>
      <c r="H1" s="148"/>
      <c r="I1" s="149"/>
      <c r="J1" s="150"/>
      <c r="K1" s="142"/>
      <c r="L1" s="142"/>
      <c r="M1" s="142"/>
      <c r="N1" s="142"/>
      <c r="O1" s="142"/>
      <c r="P1" s="137"/>
      <c r="AF1" s="144"/>
      <c r="AG1" s="144"/>
      <c r="AH1" s="144"/>
      <c r="AI1" s="144"/>
      <c r="AJ1" s="144"/>
    </row>
    <row r="2" spans="1:38" s="143" customFormat="1" x14ac:dyDescent="0.25">
      <c r="A2" s="145"/>
      <c r="B2" s="137"/>
      <c r="C2" s="206"/>
      <c r="D2" s="206"/>
      <c r="E2" s="205"/>
      <c r="F2" s="207"/>
      <c r="G2" s="207"/>
      <c r="H2" s="148"/>
      <c r="I2" s="149"/>
      <c r="J2" s="150"/>
      <c r="K2" s="142"/>
      <c r="L2" s="142"/>
      <c r="M2" s="142"/>
      <c r="N2" s="142"/>
      <c r="O2" s="142"/>
      <c r="P2" s="137"/>
      <c r="AF2" s="144"/>
      <c r="AG2" s="144"/>
      <c r="AH2" s="144"/>
      <c r="AI2" s="144"/>
      <c r="AJ2" s="144"/>
    </row>
    <row r="3" spans="1:38" s="143" customFormat="1" ht="30.6" thickBot="1" x14ac:dyDescent="0.55000000000000004">
      <c r="A3" s="151" t="s">
        <v>70</v>
      </c>
      <c r="B3" s="451" t="str">
        <f>'[1]2. MATRIZ DE RIESGOS'!D6</f>
        <v>Gestión Financiera</v>
      </c>
      <c r="C3" s="451"/>
      <c r="D3" s="451"/>
      <c r="E3" s="208"/>
      <c r="F3" s="209"/>
      <c r="K3" s="465"/>
      <c r="L3" s="465"/>
      <c r="M3" s="465"/>
      <c r="N3" s="465"/>
      <c r="O3" s="465"/>
      <c r="P3" s="465"/>
      <c r="Q3" s="465"/>
      <c r="R3" s="465"/>
      <c r="S3" s="465"/>
      <c r="T3" s="465"/>
      <c r="U3" s="465"/>
      <c r="V3" s="465"/>
      <c r="AF3" s="144"/>
      <c r="AG3" s="144"/>
      <c r="AH3" s="144"/>
      <c r="AI3" s="144"/>
      <c r="AJ3" s="144"/>
    </row>
    <row r="4" spans="1:38" s="143" customFormat="1" ht="13.8" hidden="1" thickBot="1" x14ac:dyDescent="0.3">
      <c r="D4" s="137"/>
      <c r="E4" s="146"/>
      <c r="F4" s="209"/>
      <c r="I4" s="452" t="s">
        <v>718</v>
      </c>
      <c r="J4" s="453"/>
      <c r="K4" s="453"/>
      <c r="L4" s="453"/>
      <c r="M4" s="453"/>
      <c r="N4" s="453"/>
      <c r="O4" s="454"/>
      <c r="R4" s="154"/>
      <c r="S4" s="155"/>
      <c r="T4" s="466" t="s">
        <v>479</v>
      </c>
      <c r="U4" s="467"/>
      <c r="V4" s="467"/>
      <c r="W4" s="467"/>
      <c r="X4" s="468"/>
      <c r="AF4" s="144"/>
      <c r="AG4" s="144"/>
      <c r="AH4" s="144"/>
      <c r="AI4" s="144"/>
      <c r="AJ4" s="144"/>
    </row>
    <row r="5" spans="1:38" x14ac:dyDescent="0.3">
      <c r="A5" s="210"/>
      <c r="B5" s="210"/>
      <c r="C5" s="159"/>
      <c r="D5" s="210"/>
      <c r="E5" s="457" t="s">
        <v>719</v>
      </c>
      <c r="F5" s="457"/>
      <c r="G5" s="457"/>
      <c r="H5" s="159"/>
      <c r="I5" s="160"/>
      <c r="J5" s="161"/>
      <c r="K5" s="455" t="s">
        <v>479</v>
      </c>
      <c r="L5" s="455"/>
      <c r="M5" s="455"/>
      <c r="N5" s="455"/>
      <c r="O5" s="456"/>
      <c r="P5" s="159"/>
      <c r="R5" s="162"/>
      <c r="T5" s="164">
        <v>0.2</v>
      </c>
      <c r="U5" s="164">
        <v>0.4</v>
      </c>
      <c r="V5" s="164">
        <v>0.6</v>
      </c>
      <c r="W5" s="164">
        <v>0.8</v>
      </c>
      <c r="X5" s="165">
        <v>1</v>
      </c>
      <c r="Y5" s="166"/>
      <c r="Z5" s="166"/>
      <c r="AA5" s="166"/>
      <c r="AB5" s="166"/>
      <c r="AC5" s="166"/>
      <c r="AD5" s="166"/>
      <c r="AE5" s="166"/>
    </row>
    <row r="6" spans="1:38" ht="40.049999999999997" customHeight="1" x14ac:dyDescent="0.25">
      <c r="A6" s="158" t="s">
        <v>720</v>
      </c>
      <c r="B6" s="158" t="s">
        <v>713</v>
      </c>
      <c r="C6" s="158" t="s">
        <v>101</v>
      </c>
      <c r="D6" s="158" t="s">
        <v>103</v>
      </c>
      <c r="E6" s="158" t="s">
        <v>480</v>
      </c>
      <c r="F6" s="158" t="s">
        <v>479</v>
      </c>
      <c r="G6" s="158" t="s">
        <v>721</v>
      </c>
      <c r="H6" s="159"/>
      <c r="I6" s="162"/>
      <c r="J6" s="171"/>
      <c r="K6" s="172" t="s">
        <v>538</v>
      </c>
      <c r="L6" s="172" t="s">
        <v>494</v>
      </c>
      <c r="M6" s="172" t="s">
        <v>125</v>
      </c>
      <c r="N6" s="172" t="s">
        <v>145</v>
      </c>
      <c r="O6" s="173" t="s">
        <v>160</v>
      </c>
      <c r="P6" s="159"/>
      <c r="R6" s="162"/>
      <c r="S6" s="174"/>
      <c r="T6" s="175" t="s">
        <v>538</v>
      </c>
      <c r="U6" s="175" t="s">
        <v>494</v>
      </c>
      <c r="V6" s="175" t="s">
        <v>125</v>
      </c>
      <c r="W6" s="175" t="s">
        <v>145</v>
      </c>
      <c r="X6" s="176" t="s">
        <v>160</v>
      </c>
      <c r="AA6" s="166"/>
      <c r="AB6" s="166"/>
      <c r="AC6" s="177"/>
      <c r="AD6" s="177"/>
      <c r="AE6" s="177"/>
      <c r="AF6" s="177"/>
      <c r="AG6" s="177"/>
      <c r="AH6" s="177"/>
      <c r="AI6" s="177"/>
      <c r="AJ6" s="177"/>
      <c r="AK6" s="177"/>
      <c r="AL6" s="177"/>
    </row>
    <row r="7" spans="1:38" ht="99" customHeight="1" x14ac:dyDescent="0.25">
      <c r="A7" s="178" t="str">
        <f>'[1]2. MATRIZ DE RIESGOS'!A15</f>
        <v>GF16</v>
      </c>
      <c r="B7" s="179" t="str">
        <f>'[1]2. MATRIZ DE RIESGOS'!G15</f>
        <v>Posibilidad de afectación reputacional y económica del Instituto por quejas interpuestas de manera informal o por correo electrónico por parte de los proveedores y contratistas, por disminución en la liquidez institucional, por pérdida de recursos, así como por posibles acciones legales de terceros. Lo anterior, debido a la realización de desembolsos por valores diferentes a los obligados.</v>
      </c>
      <c r="C7" s="211">
        <f>'[1]2. MATRIZ DE RIESGOS'!AE15</f>
        <v>0.33600000000000002</v>
      </c>
      <c r="D7" s="180">
        <f>'[1]2. MATRIZ DE RIESGOS'!AG15</f>
        <v>0.6</v>
      </c>
      <c r="E7" s="212" t="str">
        <f t="shared" ref="E7:E26" si="0">+IF(C7=0,"",IF(C7&lt;=$R$11,$S$11,IF(C7&lt;=$R$10,$S$10,IF(C7&lt;=$R$9,$S$9,IF(C7&lt;=$R$8,$S$8,IF(C7&lt;=$R$7,$S$7,""))))))</f>
        <v>Baja</v>
      </c>
      <c r="F7" s="212" t="str">
        <f t="shared" ref="F7:F26" si="1">+IF(D7=0,"",IF(D7&lt;=$T$5,$T$6,IF(D7&lt;=$U$5,$U$6,IF(D7&lt;=$V$5,$V$6,IF(D7&lt;=$W$5,$W$6,IF(D7&lt;=$X$5,$X$6,""))))))</f>
        <v>Moderado</v>
      </c>
      <c r="G7" s="179" t="str">
        <f t="shared" ref="G7:G26" si="2">+IF(E7=$S$7,IF(F7=$T$6,$T$7,IF(F7=$U$6,$U$7,IF(F7=$V$6,$V$7,IF(F7=$W$6,$W$7,IF(F7=$X$6,$X$7))))),IF(E7=$S$8,IF(F7=$T$6,$T$8,IF(F7=$U$6,$U$8,IF(F7=$V$6,$V$8,IF(F7=$W$6,$W$8,IF(F7=$X$6,$X$8))))),IF(E7=$S$9,IF(F7=$T$6,$T$9,IF(F7=$U$6,$U$9,IF(F7=$V$6,$V$9,IF(F7=$W$6,$W$9,IF(F7=$X$6,$X$9))))),IF(E7=$S$10,IF(F7=$T$6,$T$10,IF(F7=$U$6,$U$10,IF(F7=$V$6,$V$10,IF(F7=$W$6,$W$10,IF(F7=$X$6,$X$10))))),IF(E7=$S$11,IF(F7=$T$6,$T$11,IF(F7=$U$6,$U$11,IF(F7=$V$6,$V$11,IF(F7=$W$6,$W$11,IF(F7=$X$6,$X$11))))),"")))))</f>
        <v>Moderado</v>
      </c>
      <c r="H7" s="181"/>
      <c r="I7" s="458" t="s">
        <v>480</v>
      </c>
      <c r="J7" s="172" t="s">
        <v>287</v>
      </c>
      <c r="K7" s="182"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"&amp;IF(AND(E26=$S$7,F26=$T$6),A26,"")&amp;" "&amp;IF(AND(E27=$S$7,F27=$T$6),A27,"")&amp;" "&amp;IF(AND(E28=$S$7,F28=$T$6),A28,"")&amp;" "&amp;IF(AND(E29=$S$7,F29=$T$6),A29,"")&amp;" "&amp;IF(AND(E30=$S$7,F30=$T$6),A30,"")&amp;" "&amp;IF(AND(E31=$S$7,F31=$T$6),A31,"")</f>
        <v xml:space="preserve">                        </v>
      </c>
      <c r="L7" s="182"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"&amp;IF(AND(E26=$S$7,F26=$U$6),A26,"")&amp;" "&amp;IF(AND(E27=$S$7,F27=$U$6),A27,"")&amp;" "&amp;IF(AND(E28=$S$7,F28=$U$6),A28,"")&amp;" "&amp;IF(AND(E29=$S$7,F29=$U$6),A29,"")&amp;" "&amp;IF(AND(E30=$S$7,F30=$U$6),A30,"")&amp;" "&amp;IF(AND(E31=$S$7,F31=$U$6),A31,"")</f>
        <v xml:space="preserve">                        </v>
      </c>
      <c r="M7" s="182"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"&amp;IF(AND(E26=$S$7,F26=$V$6),A26,"")&amp;" "&amp;IF(AND(E27=$S$7,F27=$V$6),A27,"")&amp;" "&amp;IF(AND(E28=$S$7,F28=$V$6),A28,"")&amp;" "&amp;IF(AND(E29=$S$7,F29=$V$6),A29,"")&amp;" "&amp;IF(AND(E30=$S$7,F30=$V$6),A30,"")&amp;" "&amp;IF(AND(E31=$S$7,F31=$V$6),A31,"")</f>
        <v xml:space="preserve">                        </v>
      </c>
      <c r="N7" s="182"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"&amp;IF(AND(E26=$S$7,F26=$W$6),A26,"")&amp;" "&amp;IF(AND(E27=$S$7,F27=$W$6),A27,"")&amp;" "&amp;IF(AND(E28=$S$7,F28=$W$6),A28,"")&amp;" "&amp;IF(AND(E29=$S$7,F29=$W$6),A29,"")&amp;" "&amp;IF(AND(E30=$S$7,F30=$W$6),A30,"")&amp;" "&amp;IF(AND(E31=$S$7,F31=$W$6),A31,"")</f>
        <v xml:space="preserve">                        </v>
      </c>
      <c r="O7" s="183"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"&amp;IF(AND(E26=$S$7,F26=$X$6),A26,"")&amp;" "&amp;IF(AND(E27=$S$7,F27=$X$6),A27,"")&amp;" "&amp;IF(AND(E28=$S$7,F28=$X$6),A28,"")&amp;" "&amp;IF(AND(E29=$S$7,F29=$X$6),A29,"")&amp;" "&amp;IF(AND(E30=$S$7,F30=$X$6),A30,"")&amp;" "&amp;IF(AND(E31=$S$7,F31=$X$6),A31,"")</f>
        <v xml:space="preserve">                        </v>
      </c>
      <c r="P7" s="181"/>
      <c r="Q7" s="462" t="s">
        <v>480</v>
      </c>
      <c r="R7" s="184">
        <v>1</v>
      </c>
      <c r="S7" s="175" t="s">
        <v>287</v>
      </c>
      <c r="T7" s="182" t="s">
        <v>482</v>
      </c>
      <c r="U7" s="182" t="s">
        <v>482</v>
      </c>
      <c r="V7" s="182" t="s">
        <v>482</v>
      </c>
      <c r="W7" s="182" t="s">
        <v>482</v>
      </c>
      <c r="X7" s="183" t="s">
        <v>481</v>
      </c>
      <c r="AA7" s="166"/>
      <c r="AB7" s="166"/>
      <c r="AC7" s="177"/>
      <c r="AD7" s="177"/>
      <c r="AE7" s="177"/>
      <c r="AF7" s="185"/>
      <c r="AG7" s="185"/>
      <c r="AH7" s="185"/>
      <c r="AI7" s="185"/>
      <c r="AJ7" s="185"/>
      <c r="AK7" s="177"/>
      <c r="AL7" s="177"/>
    </row>
    <row r="8" spans="1:38" ht="117" customHeight="1" x14ac:dyDescent="0.25">
      <c r="A8" s="178" t="str">
        <f>'[1]2. MATRIZ DE RIESGOS'!A17</f>
        <v>GF17</v>
      </c>
      <c r="B8" s="179" t="str">
        <f>'[1]2. MATRIZ DE RIESGOS'!G17</f>
        <v>Posibilidad de afectación económica por disminución en la liquidez institucional así como por pérdida de recursos, debido a la realización de pagos dobles de obligaciones.</v>
      </c>
      <c r="C8" s="211">
        <f>'[1]2. MATRIZ DE RIESGOS'!AE17</f>
        <v>0.33600000000000002</v>
      </c>
      <c r="D8" s="180">
        <f>'[1]2. MATRIZ DE RIESGOS'!AG17</f>
        <v>0.60000000000000009</v>
      </c>
      <c r="E8" s="212" t="str">
        <f t="shared" si="0"/>
        <v>Baja</v>
      </c>
      <c r="F8" s="212" t="str">
        <f t="shared" si="1"/>
        <v>Moderado</v>
      </c>
      <c r="G8" s="179" t="str">
        <f t="shared" si="2"/>
        <v>Moderado</v>
      </c>
      <c r="H8" s="181"/>
      <c r="I8" s="458"/>
      <c r="J8" s="172" t="s">
        <v>124</v>
      </c>
      <c r="K8" s="186"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"&amp;IF(AND(E26=$S$8,F26=$T$6),A26,"")&amp;" "&amp;IF(AND(E27=$S$8,F27=$T$6),A27,"")&amp;" "&amp;IF(AND(E28=$S$8,F28=$T$6),A28,"")&amp;" "&amp;IF(AND(E29=$S$8,F29=$T$6),A29,"")&amp;" "&amp;IF(AND(E30=$S$8,F30=$T$6),A30,"")&amp;" "&amp;IF(AND(E31=$S$8,F31=$T$6),A31,"")</f>
        <v xml:space="preserve">                        </v>
      </c>
      <c r="L8" s="186"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"&amp;IF(AND(E26=$S$8,F26=$U$6),A26,"")&amp;" "&amp;IF(AND(E27=$S$8,F27=$U$6),A27,"")&amp;" "&amp;IF(AND(E28=$S$8,F28=$U$6),A28,"")&amp;" "&amp;IF(AND(E29=$S$8,F29=$U$6),A29,"")&amp;" "&amp;IF(AND(E30=$S$8,F30=$U$6),A30,"")&amp;" "&amp;IF(AND(E31=$S$8,F31=$U$6),A31,"")</f>
        <v xml:space="preserve">                        </v>
      </c>
      <c r="M8" s="182"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"&amp;IF(AND(E26=$S$8,F26=$V$6),A26,"")&amp;" "&amp;IF(AND(E27=$S$8,F27=$V$6),A27,"")&amp;" "&amp;IF(AND(E28=$S$8,F28=$V$6),A28,"")&amp;" "&amp;IF(AND(E29=$S$8,F29=$V$6),A29,"")&amp;" "&amp;IF(AND(E30=$S$8,F30=$V$6),A30,"")&amp;" "&amp;IF(AND(E31=$S$8,F31=$V$6),A31,"")</f>
        <v xml:space="preserve">                        </v>
      </c>
      <c r="N8" s="182"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"&amp;IF(AND(E26=$S$8,F26=$W$6),A26,"")&amp;" "&amp;IF(AND(E27=$S$8,F27=$W$6),A27,"")&amp;" "&amp;IF(AND(E28=$S$8,F28=$W$6),A28,"")&amp;" "&amp;IF(AND(E29=$S$8,F29=$W$6),A29,"")&amp;" "&amp;IF(AND(E30=$S$8,F30=$W$6),A30,"")&amp;" "&amp;IF(AND(E31=$S$8,F31=$W$6),A31,"")</f>
        <v xml:space="preserve">                        </v>
      </c>
      <c r="O8" s="183"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"&amp;IF(AND(E26=$S$8,F26=$X$6),A26,"")&amp;" "&amp;IF(AND(E27=$S$8,F27=$X$6),A27,"")&amp;" "&amp;IF(AND(E28=$S$8,F28=$X$6),A28,"")&amp;" "&amp;IF(AND(E29=$S$8,F29=$X$6),A29,"")&amp;" "&amp;IF(AND(E30=$S$8,F30=$X$6),A30,"")&amp;" "&amp;IF(AND(E31=$S$8,F31=$X$6),A31,"")</f>
        <v xml:space="preserve">                        </v>
      </c>
      <c r="P8" s="181"/>
      <c r="Q8" s="463"/>
      <c r="R8" s="184">
        <v>0.8</v>
      </c>
      <c r="S8" s="175" t="s">
        <v>124</v>
      </c>
      <c r="T8" s="186" t="s">
        <v>125</v>
      </c>
      <c r="U8" s="186" t="s">
        <v>125</v>
      </c>
      <c r="V8" s="182" t="s">
        <v>482</v>
      </c>
      <c r="W8" s="182" t="s">
        <v>482</v>
      </c>
      <c r="X8" s="183" t="s">
        <v>481</v>
      </c>
      <c r="AA8" s="166"/>
      <c r="AB8" s="166"/>
      <c r="AC8" s="177"/>
      <c r="AD8" s="187"/>
      <c r="AE8" s="188"/>
      <c r="AF8" s="185"/>
      <c r="AG8" s="185"/>
      <c r="AH8" s="185"/>
      <c r="AI8" s="185"/>
      <c r="AJ8" s="185"/>
      <c r="AK8" s="177"/>
      <c r="AL8" s="177"/>
    </row>
    <row r="9" spans="1:38" ht="102" customHeight="1" x14ac:dyDescent="0.25">
      <c r="A9" s="178" t="str">
        <f>'[1]2. MATRIZ DE RIESGOS'!A20</f>
        <v>GF18</v>
      </c>
      <c r="B9" s="179" t="str">
        <f>'[1]2. MATRIZ DE RIESGOS'!G20</f>
        <v>Posibilidad de afectación económica y reputacional del Instituto por perdida de recursos y por lo tanto posibles sanciones de índole disciplinaria, penal y/o económica por parte de los entes de control, debido a la apropiación de recursos financieros por parte empleados o terceros para el beneficio particular.</v>
      </c>
      <c r="C9" s="211">
        <f>'[1]2. MATRIZ DE RIESGOS'!AE20</f>
        <v>8.4671999999999997E-2</v>
      </c>
      <c r="D9" s="180">
        <f>'[1]2. MATRIZ DE RIESGOS'!AG20</f>
        <v>0.75</v>
      </c>
      <c r="E9" s="212" t="str">
        <f t="shared" si="0"/>
        <v>Muy Baja</v>
      </c>
      <c r="F9" s="212" t="str">
        <f t="shared" si="1"/>
        <v>Mayor</v>
      </c>
      <c r="G9" s="179" t="str">
        <f t="shared" si="2"/>
        <v>Alto</v>
      </c>
      <c r="H9" s="181"/>
      <c r="I9" s="458"/>
      <c r="J9" s="172" t="s">
        <v>206</v>
      </c>
      <c r="K9" s="186"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"&amp;IF(AND(E26=$S$9,F26=$T$6),A26,"")&amp;" "&amp;IF(AND(E27=$S$9,F27=$T$6),A27,"")&amp;" "&amp;IF(AND(E28=$S$9,F28=$T$6),A28,"")&amp;" "&amp;IF(AND(E29=$S$9,F29=$T$6),A29,"")&amp;" "&amp;IF(AND(E30=$S$9,F30=$T$6),A30,"")&amp;" "&amp;IF(AND(E31=$S$9,F31=$T$6),A31,"")</f>
        <v xml:space="preserve">                        </v>
      </c>
      <c r="L9" s="186"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"&amp;IF(AND(E26=$S$9,F26=$U$6),A26,"")&amp;" "&amp;IF(AND(E27=$S$9,F27=$U$6),A27,"")&amp;" "&amp;IF(AND(E28=$S$9,F28=$U$6),A28,"")&amp;" "&amp;IF(AND(E29=$S$9,F29=$U$6),A29,"")&amp;" "&amp;IF(AND(E30=$S$9,F30=$U$6),A30,"")&amp;" "&amp;IF(AND(E31=$S$9,F31=$U$6),A31,"")</f>
        <v xml:space="preserve">                        </v>
      </c>
      <c r="M9" s="186"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"&amp;IF(AND(E26=$S$9,F26=$V$6),A26,"")&amp;" "&amp;IF(AND(E27=$S$9,F27=$V$6),A27,"")&amp;" "&amp;IF(AND(E28=$S$9,F28=$V$6),A28,"")&amp;" "&amp;IF(AND(E29=$S$9,F29=$V$6),A29,"")&amp;" "&amp;IF(AND(E30=$S$9,F30=$V$6),A30,"")&amp;" "&amp;IF(AND(E31=$S$9,F31=$V$6),A31,"")</f>
        <v xml:space="preserve">     GF32         GF34        GF29 GF30 </v>
      </c>
      <c r="N9" s="182"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"&amp;IF(AND(E26=$S$9,F26=$W$6),A26,"")&amp;" "&amp;IF(AND(E27=$S$9,F27=$W$6),A27,"")&amp;" "&amp;IF(AND(E28=$S$9,F28=$W$6),A28,"")&amp;" "&amp;IF(AND(E29=$S$9,F29=$W$6),A29,"")&amp;" "&amp;IF(AND(E30=$S$9,F30=$W$6),A30,"")&amp;" "&amp;IF(AND(E31=$S$9,F31=$W$6),A31,"")</f>
        <v xml:space="preserve">                        </v>
      </c>
      <c r="O9" s="183"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"&amp;IF(AND(E26=$S$9,F26=$X$6),A26,"")&amp;" "&amp;IF(AND(E27=$S$9,F27=$X$6),A27,"")&amp;" "&amp;IF(AND(E28=$S$9,F28=$X$6),A28,"")&amp;" "&amp;IF(AND(E29=$S$9,F29=$X$6),A29,"")&amp;" "&amp;IF(AND(E30=$S$9,F30=$X$6),A30,"")&amp;" "&amp;IF(AND(E31=$S$9,F31=$X$6),A31,"")</f>
        <v xml:space="preserve">                        </v>
      </c>
      <c r="P9" s="181"/>
      <c r="Q9" s="463"/>
      <c r="R9" s="184">
        <v>0.6</v>
      </c>
      <c r="S9" s="175" t="s">
        <v>206</v>
      </c>
      <c r="T9" s="186" t="s">
        <v>125</v>
      </c>
      <c r="U9" s="186" t="s">
        <v>125</v>
      </c>
      <c r="V9" s="186" t="s">
        <v>125</v>
      </c>
      <c r="W9" s="182" t="s">
        <v>482</v>
      </c>
      <c r="X9" s="183" t="s">
        <v>481</v>
      </c>
      <c r="AA9" s="166"/>
      <c r="AB9" s="166"/>
      <c r="AC9" s="177"/>
      <c r="AD9" s="187"/>
      <c r="AE9" s="188"/>
      <c r="AF9" s="185"/>
      <c r="AG9" s="185"/>
      <c r="AH9" s="185"/>
      <c r="AI9" s="185"/>
      <c r="AJ9" s="189"/>
      <c r="AK9" s="177"/>
      <c r="AL9" s="177"/>
    </row>
    <row r="10" spans="1:38" ht="118.8" customHeight="1" x14ac:dyDescent="0.25">
      <c r="A10" s="178" t="str">
        <f>'[1]2. MATRIZ DE RIESGOS'!A26</f>
        <v>GF30</v>
      </c>
      <c r="B10" s="179" t="str">
        <f>'[1]2. MATRIZ DE RIESGOS'!G26</f>
        <v>Posibilidad de afectación reputacional y económica para el Instituto reflejada en quejas por parte la comunidad por no recibir los productos y servicios derivados de los proyectos de inversión, Quejas por parte de proveedores por el no pago de obligaciones contractuales, Requerimientos por parte del Distrito y el Concejo de Medellín derivados del incumplimiento de metas de Plan de Desarrollo Distrital, Hallazgos por parte de entes de Control, pago de intereses de mora por el incumplimiento de los pagos,  disminución en las transferencias distritales por baja ejecución del PAC asi como por posibles acciones legales de terceros. Lo anterior, debido a que no se de cumplimiento a los pagos con relación al PAC proyectado de gastos.</v>
      </c>
      <c r="C10" s="211">
        <f>'[1]2. MATRIZ DE RIESGOS'!AE26</f>
        <v>0.28799999999999998</v>
      </c>
      <c r="D10" s="180">
        <f>'[1]2. MATRIZ DE RIESGOS'!AG26</f>
        <v>0.45000000000000007</v>
      </c>
      <c r="E10" s="212" t="str">
        <f t="shared" si="0"/>
        <v>Baja</v>
      </c>
      <c r="F10" s="212" t="str">
        <f t="shared" si="1"/>
        <v>Moderado</v>
      </c>
      <c r="G10" s="179" t="str">
        <f t="shared" si="2"/>
        <v>Moderado</v>
      </c>
      <c r="H10" s="181"/>
      <c r="I10" s="458"/>
      <c r="J10" s="172" t="s">
        <v>332</v>
      </c>
      <c r="K10" s="190"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"&amp;IF(AND(E26=$S$10,F26=$T$6),A26,"")&amp;" "&amp;IF(AND(E27=$S$10,F27=$T$6),A27,"")&amp;" "&amp;IF(AND(E28=$S$10,F28=$T$6),A28,"")&amp;" "&amp;IF(AND(E29=$S$10,F29=$T$6),A29,"")&amp;" "&amp;IF(AND(E30=$S$10,F30=$T$6),A30,"")&amp;" "&amp;IF(AND(E31=$S$10,F31=$T$6),A31,"")</f>
        <v xml:space="preserve">                        </v>
      </c>
      <c r="L10" s="186"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"&amp;IF(AND(E26=$S$10,F26=$U$6),A26,"")&amp;" "&amp;IF(AND(E27=$S$10,F27=$U$6),A27,"")&amp;" "&amp;IF(AND(E28=$S$10,F28=$U$6),A28,"")&amp;" "&amp;IF(AND(E29=$S$10,F29=$U$6),A29,"")&amp;" "&amp;IF(AND(E30=$S$10,F30=$U$6),A30,"")&amp;" "&amp;IF(AND(E31=$S$10,F31=$U$6),A31,"")</f>
        <v xml:space="preserve">                        </v>
      </c>
      <c r="M10" s="186"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"&amp;IF(AND(E26=$S$10,F26=$V$6),A26,"")&amp;" "&amp;IF(AND(E27=$S$10,F27=$V$6),A27,"")&amp;" "&amp;IF(AND(E28=$S$10,F28=$V$6),A28,"")&amp;" "&amp;IF(AND(E29=$S$10,F29=$V$6),A29,"")&amp;" "&amp;IF(AND(E30=$S$10,F30=$V$6),A30,"")&amp;" "&amp;IF(AND(E31=$S$10,F31=$V$6),A31,"")</f>
        <v>GF16 GF17  GF30 GF31     GF26  GF28  GF32     GF25   GF28   GF31</v>
      </c>
      <c r="N10" s="182"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"&amp;IF(AND(E26=$S$10,F26=$W$6),A26,"")&amp;" "&amp;IF(AND(E27=$S$10,F27=$W$6),A27,"")&amp;" "&amp;IF(AND(E28=$S$10,F28=$W$6),A28,"")&amp;" "&amp;IF(AND(E29=$S$10,F29=$W$6),A29,"")&amp;" "&amp;IF(AND(E30=$S$10,F30=$W$6),A30,"")&amp;" "&amp;IF(AND(E31=$S$10,F31=$W$6),A31,"")</f>
        <v xml:space="preserve">                 GF24   GF27    </v>
      </c>
      <c r="O10" s="183"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"&amp;IF(AND(E26=$S$10,F26=$X$6),A26,"")&amp;" "&amp;IF(AND(E27=$S$10,F27=$X$6),A27,"")&amp;" "&amp;IF(AND(E28=$S$10,F28=$X$6),A28,"")&amp;" "&amp;IF(AND(E29=$S$10,F29=$X$6),A29,"")&amp;" "&amp;IF(AND(E30=$S$10,F30=$X$6),A30,"")&amp;" "&amp;IF(AND(E31=$S$10,F31=$X$6),A31,"")</f>
        <v xml:space="preserve">                        </v>
      </c>
      <c r="P10" s="181"/>
      <c r="Q10" s="463"/>
      <c r="R10" s="184">
        <v>0.4</v>
      </c>
      <c r="S10" s="175" t="s">
        <v>332</v>
      </c>
      <c r="T10" s="190" t="s">
        <v>483</v>
      </c>
      <c r="U10" s="186" t="s">
        <v>125</v>
      </c>
      <c r="V10" s="186" t="s">
        <v>125</v>
      </c>
      <c r="W10" s="182" t="s">
        <v>482</v>
      </c>
      <c r="X10" s="183" t="s">
        <v>481</v>
      </c>
      <c r="AA10" s="166"/>
      <c r="AB10" s="166"/>
      <c r="AC10" s="177"/>
      <c r="AD10" s="187"/>
      <c r="AE10" s="188"/>
      <c r="AF10" s="185"/>
      <c r="AG10" s="185"/>
      <c r="AH10" s="185"/>
      <c r="AI10" s="189"/>
      <c r="AJ10" s="185"/>
      <c r="AK10" s="177"/>
      <c r="AL10" s="177"/>
    </row>
    <row r="11" spans="1:38" ht="93" customHeight="1" thickBot="1" x14ac:dyDescent="0.3">
      <c r="A11" s="178" t="str">
        <f>'[1]2. MATRIZ DE RIESGOS'!A30</f>
        <v>GF31</v>
      </c>
      <c r="B11" s="179" t="str">
        <f>'[1]2. MATRIZ DE RIESGOS'!G30</f>
        <v>Posibilidad de afectación reputacional del Instituto reflejada en hallazgos por parte de los entes de control y requerimiento del Concejo Ditstrital de Medellín, debido a que no se de cumplimiento al reintegro mensual de los rendimientos financieros con relación a la resolución 112 CODFIS.</v>
      </c>
      <c r="C11" s="211">
        <f>'[1]2. MATRIZ DE RIESGOS'!AE30</f>
        <v>0.216</v>
      </c>
      <c r="D11" s="180">
        <f>'[1]2. MATRIZ DE RIESGOS'!AG30</f>
        <v>0.60000000000000009</v>
      </c>
      <c r="E11" s="212" t="str">
        <f t="shared" si="0"/>
        <v>Baja</v>
      </c>
      <c r="F11" s="212" t="str">
        <f t="shared" si="1"/>
        <v>Moderado</v>
      </c>
      <c r="G11" s="179" t="str">
        <f t="shared" si="2"/>
        <v>Moderado</v>
      </c>
      <c r="H11" s="181"/>
      <c r="I11" s="459"/>
      <c r="J11" s="191" t="s">
        <v>486</v>
      </c>
      <c r="K11" s="192"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"&amp;IF(AND(E26=$S$11,F26=$T$6),A26,"")&amp;" "&amp;IF(AND(E27=$S$11,F27=$T$6),A27,"")&amp;" "&amp;IF(AND(E28=$S$11,F28=$T$6),A28,"")&amp;" "&amp;IF(AND(E29=$S$11,F29=$T$6),A29,"")&amp;" "&amp;IF(AND(E30=$S$11,F30=$T$6),A30,"")&amp;" "&amp;IF(AND(E31=$S$11,F31=$T$6),A31,"")</f>
        <v xml:space="preserve">                        </v>
      </c>
      <c r="L11" s="192"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"&amp;IF(AND(E26=$S$11,F26=$U$6),A26,"")&amp;" "&amp;IF(AND(E27=$S$11,F27=$U$6),A27,"")&amp;" "&amp;IF(AND(E28=$S$11,F28=$U$6),A28,"")&amp;" "&amp;IF(AND(E29=$S$11,F29=$U$6),A29,"")&amp;" "&amp;IF(AND(E30=$S$11,F30=$U$6),A30,"")&amp;" "&amp;IF(AND(E31=$S$11,F31=$U$6),A31,"")</f>
        <v xml:space="preserve">                        </v>
      </c>
      <c r="M11" s="193"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"&amp;IF(AND(E26=$S$11,F26=$V$6),A26,"")&amp;" "&amp;IF(AND(E27=$S$11,F27=$V$6),A27,"")&amp;" "&amp;IF(AND(E28=$S$11,F28=$V$6),A28,"")&amp;" "&amp;IF(AND(E29=$S$11,F29=$V$6),A29,"")&amp;" "&amp;IF(AND(E30=$S$11,F30=$V$6),A30,"")&amp;" "&amp;IF(AND(E31=$S$11,F31=$V$6),A31,"")</f>
        <v xml:space="preserve">      GF19 GF33 GF20  GF27  GF29   GF22    GF26     </v>
      </c>
      <c r="N11" s="194"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"&amp;IF(AND(E26=$S$11,F26=$W$6),A26,"")&amp;" "&amp;IF(AND(E27=$S$11,F27=$W$6),A27,"")&amp;" "&amp;IF(AND(E28=$S$11,F28=$W$6),A28,"")&amp;" "&amp;IF(AND(E29=$S$11,F29=$W$6),A29,"")&amp;" "&amp;IF(AND(E30=$S$11,F30=$W$6),A30,"")&amp;" "&amp;IF(AND(E31=$S$11,F31=$W$6),A31,"")</f>
        <v xml:space="preserve">  GF18              GF23        </v>
      </c>
      <c r="O11" s="195"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"&amp;IF(AND(E26=$S$11,F26=$X$6),A26,"")&amp;" "&amp;IF(AND(E27=$S$11,F27=$X$6),A27,"")&amp;" "&amp;IF(AND(E28=$S$11,F28=$X$6),A28,"")&amp;" "&amp;IF(AND(E29=$S$11,F29=$X$6),A29,"")&amp;" "&amp;IF(AND(E30=$S$11,F30=$X$6),A30,"")&amp;" "&amp;IF(AND(E31=$S$11,F31=$X$6),A31,"")</f>
        <v xml:space="preserve">                        </v>
      </c>
      <c r="P11" s="181"/>
      <c r="Q11" s="464"/>
      <c r="R11" s="196">
        <v>0.2</v>
      </c>
      <c r="S11" s="197" t="s">
        <v>486</v>
      </c>
      <c r="T11" s="192" t="s">
        <v>483</v>
      </c>
      <c r="U11" s="192" t="s">
        <v>483</v>
      </c>
      <c r="V11" s="193" t="s">
        <v>125</v>
      </c>
      <c r="W11" s="194" t="s">
        <v>482</v>
      </c>
      <c r="X11" s="195" t="s">
        <v>481</v>
      </c>
      <c r="AA11" s="166"/>
      <c r="AB11" s="166"/>
      <c r="AC11" s="177"/>
      <c r="AD11" s="187"/>
      <c r="AE11" s="188"/>
      <c r="AF11" s="185"/>
      <c r="AG11" s="185"/>
      <c r="AH11" s="185"/>
      <c r="AI11" s="198"/>
      <c r="AJ11" s="185"/>
      <c r="AK11" s="177"/>
      <c r="AL11" s="177"/>
    </row>
    <row r="12" spans="1:38" ht="93" customHeight="1" x14ac:dyDescent="0.25">
      <c r="A12" s="178" t="str">
        <f>'[1]2. MATRIZ DE RIESGOS'!A33</f>
        <v>GF32</v>
      </c>
      <c r="B12" s="179" t="str">
        <f>'[1]2. MATRIZ DE RIESGOS'!G33</f>
        <v>Posibilidad de afectacion reputacional y económico, reflejada en requerimeintos del Distrito y el Concejo Distrital por el incumplimiento de metas y objetivos de Plan de Desarrollo, hallazgos por parte de los entes de control, pago de multas, sanciones, intereses moratorias por el incumplimiento en el pago de obligaciones. Lo anterior, debido a que no se desembolsen las transferencias pactadas por parte del Distrito.</v>
      </c>
      <c r="C12" s="211">
        <f>'[1]2. MATRIZ DE RIESGOS'!AE33</f>
        <v>0.6</v>
      </c>
      <c r="D12" s="180">
        <f>'[1]2. MATRIZ DE RIESGOS'!AG33</f>
        <v>0.5625</v>
      </c>
      <c r="E12" s="212" t="str">
        <f t="shared" si="0"/>
        <v>Media</v>
      </c>
      <c r="F12" s="212" t="str">
        <f t="shared" si="1"/>
        <v>Moderado</v>
      </c>
      <c r="G12" s="179" t="str">
        <f t="shared" si="2"/>
        <v>Moderado</v>
      </c>
      <c r="H12" s="181"/>
      <c r="I12" s="181"/>
      <c r="J12" s="181"/>
      <c r="K12" s="181"/>
      <c r="L12" s="181"/>
      <c r="M12" s="181"/>
      <c r="N12" s="181"/>
      <c r="O12" s="181"/>
      <c r="P12" s="181"/>
      <c r="AA12" s="166"/>
      <c r="AB12" s="166"/>
      <c r="AC12" s="177"/>
      <c r="AD12" s="187"/>
      <c r="AE12" s="188"/>
      <c r="AF12" s="185"/>
      <c r="AG12" s="185"/>
      <c r="AH12" s="185"/>
      <c r="AI12" s="185"/>
      <c r="AJ12" s="185"/>
      <c r="AK12" s="177"/>
      <c r="AL12" s="177"/>
    </row>
    <row r="13" spans="1:38" ht="93" customHeight="1" x14ac:dyDescent="0.25">
      <c r="A13" s="178" t="str">
        <f>'[1]2. MATRIZ DE RIESGOS'!A35</f>
        <v>GF19</v>
      </c>
      <c r="B13" s="179" t="str">
        <f>'[1]2. MATRIZ DE RIESGOS'!G35</f>
        <v>Posibilidad de afectación económica y reputacional del Instituto por disminución de ingresos que afecta el cumplimiento de pagos, detrimento patrimonial así como por hallazgos de los entes de control, debido al aumento de la cartera hipotecaria de aquellas obligaciones mayor a 6 cuotas vencidas (&gt; 180 días).</v>
      </c>
      <c r="C13" s="211">
        <f>'[1]2. MATRIZ DE RIESGOS'!AE35</f>
        <v>0.16464000000000001</v>
      </c>
      <c r="D13" s="180">
        <f>'[1]2. MATRIZ DE RIESGOS'!AG35</f>
        <v>0.45000000000000007</v>
      </c>
      <c r="E13" s="212" t="str">
        <f t="shared" si="0"/>
        <v>Muy Baja</v>
      </c>
      <c r="F13" s="212" t="str">
        <f t="shared" si="1"/>
        <v>Moderado</v>
      </c>
      <c r="G13" s="179" t="str">
        <f t="shared" si="2"/>
        <v>Moderado</v>
      </c>
      <c r="H13" s="181"/>
      <c r="I13" s="181"/>
      <c r="J13" s="158" t="s">
        <v>716</v>
      </c>
      <c r="K13" s="181"/>
      <c r="L13" s="181"/>
      <c r="M13" s="181"/>
      <c r="N13" s="181"/>
      <c r="O13" s="181"/>
      <c r="P13" s="181"/>
      <c r="V13" s="166"/>
      <c r="W13" s="166"/>
      <c r="X13" s="166"/>
      <c r="Y13" s="166"/>
      <c r="Z13" s="166"/>
      <c r="AA13" s="166"/>
      <c r="AB13" s="166"/>
      <c r="AC13" s="177"/>
      <c r="AD13" s="187"/>
      <c r="AE13" s="177"/>
      <c r="AF13" s="188"/>
      <c r="AG13" s="188"/>
      <c r="AH13" s="188"/>
      <c r="AI13" s="188"/>
      <c r="AJ13" s="188"/>
      <c r="AK13" s="177"/>
      <c r="AL13" s="177"/>
    </row>
    <row r="14" spans="1:38" ht="93" customHeight="1" x14ac:dyDescent="0.25">
      <c r="A14" s="178" t="str">
        <f>'[1]2. MATRIZ DE RIESGOS'!A44</f>
        <v>GF33</v>
      </c>
      <c r="B14" s="179" t="str">
        <f>'[1]2. MATRIZ DE RIESGOS'!G44</f>
        <v>Posibilidad de afectación económica y reputacional reflejada en el incumplimiento de la meta mensual de recaudo, asi como de a dismunución en la disponbilidad de recursos para gastos de funcionamiento de la entidad, debido a que la cartera &lt;=6 cuotas acumule cuotas vencidas y por lo tanto se incremente.</v>
      </c>
      <c r="C14" s="211">
        <f>'[1]2. MATRIZ DE RIESGOS'!AE44</f>
        <v>4.6655999999999996E-2</v>
      </c>
      <c r="D14" s="180">
        <f>'[1]2. MATRIZ DE RIESGOS'!AG44</f>
        <v>0.44999999999999996</v>
      </c>
      <c r="E14" s="212" t="str">
        <f t="shared" si="0"/>
        <v>Muy Baja</v>
      </c>
      <c r="F14" s="212" t="str">
        <f t="shared" si="1"/>
        <v>Moderado</v>
      </c>
      <c r="G14" s="179" t="str">
        <f t="shared" si="2"/>
        <v>Moderado</v>
      </c>
      <c r="H14" s="181"/>
      <c r="I14" s="181"/>
      <c r="J14" s="199" t="s">
        <v>481</v>
      </c>
      <c r="K14" s="181"/>
      <c r="L14" s="181"/>
      <c r="M14" s="181"/>
      <c r="N14" s="181"/>
      <c r="O14" s="181"/>
      <c r="P14" s="181"/>
      <c r="V14" s="166"/>
      <c r="W14" s="166"/>
      <c r="X14" s="166"/>
      <c r="Y14" s="166"/>
      <c r="Z14" s="166"/>
      <c r="AA14" s="166"/>
      <c r="AB14" s="166"/>
      <c r="AC14" s="177"/>
      <c r="AD14" s="177"/>
      <c r="AE14" s="177"/>
      <c r="AF14" s="185"/>
      <c r="AG14" s="185"/>
      <c r="AH14" s="185"/>
      <c r="AI14" s="185"/>
      <c r="AJ14" s="185"/>
      <c r="AK14" s="177"/>
      <c r="AL14" s="177"/>
    </row>
    <row r="15" spans="1:38" ht="93" customHeight="1" x14ac:dyDescent="0.25">
      <c r="A15" s="178" t="str">
        <f>'[1]2. MATRIZ DE RIESGOS'!A50</f>
        <v>GF20</v>
      </c>
      <c r="B15" s="179" t="str">
        <f>'[1]2. MATRIZ DE RIESGOS'!G50</f>
        <v>Posibilidad de afectación reputacional del Instituto reflejada en la  insatisfacción de la alta dirección por no contar con información contable que revele la realidad económica de la entidad, y necesaria para efectos de control, toma de decisiones y rendición de cuentas, en  hallazgos y sanciones por parte de los entes de control, así como en informes contables y financieros con dictamen negativo o con salvedades por parte de la Contraloría General de Medellín. Lo anterior debido a que la información financiera generada por la entidad no cumple con las características de relevancia y representación fiel de que trata el Régimen de Contabilidad Pública.</v>
      </c>
      <c r="C15" s="211">
        <f>'[1]2. MATRIZ DE RIESGOS'!AE50</f>
        <v>9.0719999999999995E-2</v>
      </c>
      <c r="D15" s="180">
        <f>'[1]2. MATRIZ DE RIESGOS'!AG50</f>
        <v>0.60000000000000009</v>
      </c>
      <c r="E15" s="212" t="str">
        <f t="shared" si="0"/>
        <v>Muy Baja</v>
      </c>
      <c r="F15" s="212" t="str">
        <f t="shared" si="1"/>
        <v>Moderado</v>
      </c>
      <c r="G15" s="179" t="str">
        <f t="shared" si="2"/>
        <v>Moderado</v>
      </c>
      <c r="H15" s="181"/>
      <c r="I15" s="181"/>
      <c r="J15" s="182" t="s">
        <v>482</v>
      </c>
      <c r="K15" s="181"/>
      <c r="L15" s="181"/>
      <c r="M15" s="181"/>
      <c r="N15" s="181"/>
      <c r="O15" s="181"/>
      <c r="P15" s="181"/>
      <c r="U15" s="166"/>
      <c r="V15" s="166"/>
      <c r="W15" s="166"/>
      <c r="X15" s="166"/>
      <c r="Y15" s="166"/>
      <c r="Z15" s="166"/>
      <c r="AA15" s="166"/>
      <c r="AB15" s="166"/>
      <c r="AC15" s="177"/>
      <c r="AD15" s="177"/>
      <c r="AE15" s="177"/>
      <c r="AF15" s="185"/>
      <c r="AG15" s="185"/>
      <c r="AH15" s="185"/>
      <c r="AI15" s="185"/>
      <c r="AJ15" s="185"/>
      <c r="AK15" s="177"/>
      <c r="AL15" s="177"/>
    </row>
    <row r="16" spans="1:38" ht="93" customHeight="1" x14ac:dyDescent="0.25">
      <c r="A16" s="178" t="str">
        <f>'[1]2. MATRIZ DE RIESGOS'!A56</f>
        <v>GF26</v>
      </c>
      <c r="B16" s="179" t="str">
        <f>'[1]2. MATRIZ DE RIESGOS'!G56</f>
        <v>Posibilidad de afectación economica y reputacional, por pago de intereses moratorios, sanciones tributarias de la DIAN y el Distrito de Medellín,, asi como por PQRSD de proveedores que expresan su incorformidad relacionada con el no pago o devolución de facturas. Lo anterior, debido a que  los documentos que soportan hechos económicos no son entregados a Contabilidad dentro del tiempo establecido para su causación.</v>
      </c>
      <c r="C16" s="211">
        <f>'[1]2. MATRIZ DE RIESGOS'!AE56</f>
        <v>0.33600000000000002</v>
      </c>
      <c r="D16" s="180">
        <f>'[1]2. MATRIZ DE RIESGOS'!AG56</f>
        <v>0.6</v>
      </c>
      <c r="E16" s="212" t="str">
        <f t="shared" si="0"/>
        <v>Baja</v>
      </c>
      <c r="F16" s="212" t="str">
        <f t="shared" si="1"/>
        <v>Moderado</v>
      </c>
      <c r="G16" s="179" t="str">
        <f t="shared" si="2"/>
        <v>Moderado</v>
      </c>
      <c r="H16" s="181"/>
      <c r="I16" s="181"/>
      <c r="J16" s="186" t="s">
        <v>125</v>
      </c>
      <c r="K16" s="181"/>
      <c r="L16" s="181"/>
      <c r="M16" s="181"/>
      <c r="N16" s="181"/>
      <c r="O16" s="181"/>
      <c r="P16" s="181"/>
      <c r="S16" s="200"/>
      <c r="U16" s="200"/>
      <c r="V16" s="200"/>
      <c r="W16" s="200"/>
      <c r="X16" s="200"/>
      <c r="Y16" s="200"/>
      <c r="Z16" s="200"/>
      <c r="AA16" s="200"/>
      <c r="AB16" s="200"/>
      <c r="AC16" s="177"/>
      <c r="AD16" s="177"/>
      <c r="AE16" s="201"/>
      <c r="AF16" s="201"/>
      <c r="AG16" s="201"/>
      <c r="AH16" s="201"/>
      <c r="AI16" s="201"/>
      <c r="AJ16" s="201"/>
      <c r="AK16" s="177"/>
      <c r="AL16" s="177"/>
    </row>
    <row r="17" spans="1:38" ht="93" customHeight="1" x14ac:dyDescent="0.25">
      <c r="A17" s="178" t="str">
        <f>'[1]2. MATRIZ DE RIESGOS'!A60</f>
        <v>GF27</v>
      </c>
      <c r="B17" s="179" t="str">
        <f>'[1]2. MATRIZ DE RIESGOS'!G60</f>
        <v>Posiblidad de afectación reputacional reflejada en la insatisfacción de la alta dirección por no contar con información contable oportuna y necesaria para efectos de control, toma de decisiones y rendición de cuentas así como por hallazgos o sanciones por parte de los entes de control. lo anterior, debido  a que no se cumpla con la elaboración, certificación y publicación de los estados financieros de manera trimestral.</v>
      </c>
      <c r="C17" s="211">
        <f>'[1]2. MATRIZ DE RIESGOS'!AE60</f>
        <v>0.14399999999999999</v>
      </c>
      <c r="D17" s="180">
        <f>'[1]2. MATRIZ DE RIESGOS'!AG60</f>
        <v>0.45000000000000007</v>
      </c>
      <c r="E17" s="212" t="str">
        <f t="shared" si="0"/>
        <v>Muy Baja</v>
      </c>
      <c r="F17" s="212" t="str">
        <f t="shared" si="1"/>
        <v>Moderado</v>
      </c>
      <c r="G17" s="179" t="str">
        <f t="shared" si="2"/>
        <v>Moderado</v>
      </c>
      <c r="H17" s="181"/>
      <c r="I17" s="181"/>
      <c r="J17" s="190" t="s">
        <v>483</v>
      </c>
      <c r="K17" s="181"/>
      <c r="L17" s="181"/>
      <c r="M17" s="181"/>
      <c r="N17" s="181"/>
      <c r="O17" s="181"/>
      <c r="P17" s="181"/>
      <c r="S17" s="200"/>
      <c r="AA17" s="200"/>
      <c r="AB17" s="200"/>
      <c r="AC17" s="177"/>
      <c r="AD17" s="177"/>
      <c r="AE17" s="177"/>
      <c r="AF17" s="185"/>
      <c r="AG17" s="185"/>
      <c r="AH17" s="185"/>
      <c r="AI17" s="185"/>
      <c r="AJ17" s="185"/>
      <c r="AK17" s="177"/>
      <c r="AL17" s="177"/>
    </row>
    <row r="18" spans="1:38" ht="93" customHeight="1" x14ac:dyDescent="0.25">
      <c r="A18" s="178" t="str">
        <f>'[1]2. MATRIZ DE RIESGOS'!A64</f>
        <v>GF28</v>
      </c>
      <c r="B18" s="179" t="str">
        <f>'[1]2. MATRIZ DE RIESGOS'!G64</f>
        <v>Posiblidad de afectación reputacional reflejada en insatisfacción de la alta dirección por no contar con información contable precisa para efectos de control, toma de decisiones y rendición de cuentas así como hallazgos por parte de los entes de control, debido a que existan diferencias entre la información contable prensentada a la CGN a través del CHIP y la del sistema de información contable de la entidad.</v>
      </c>
      <c r="C18" s="211">
        <f>'[1]2. MATRIZ DE RIESGOS'!AE64</f>
        <v>0.33599999999999997</v>
      </c>
      <c r="D18" s="180">
        <f>'[1]2. MATRIZ DE RIESGOS'!AG64</f>
        <v>0.60000000000000009</v>
      </c>
      <c r="E18" s="212" t="str">
        <f t="shared" si="0"/>
        <v>Baja</v>
      </c>
      <c r="F18" s="212" t="str">
        <f t="shared" si="1"/>
        <v>Moderado</v>
      </c>
      <c r="G18" s="179" t="str">
        <f t="shared" si="2"/>
        <v>Moderado</v>
      </c>
      <c r="H18" s="181"/>
      <c r="I18" s="181"/>
      <c r="J18" s="181"/>
      <c r="K18" s="181"/>
      <c r="L18" s="181"/>
      <c r="M18" s="181"/>
      <c r="N18" s="181"/>
      <c r="O18" s="181"/>
      <c r="P18" s="181"/>
      <c r="Q18" s="202"/>
      <c r="R18" s="202"/>
      <c r="S18" s="200"/>
      <c r="AA18" s="200"/>
      <c r="AB18" s="200"/>
      <c r="AC18" s="177"/>
      <c r="AD18" s="177"/>
      <c r="AE18" s="177"/>
      <c r="AF18" s="185"/>
      <c r="AG18" s="185"/>
      <c r="AH18" s="185"/>
      <c r="AI18" s="185"/>
      <c r="AJ18" s="185"/>
      <c r="AK18" s="177"/>
      <c r="AL18" s="177"/>
    </row>
    <row r="19" spans="1:38" ht="93" customHeight="1" x14ac:dyDescent="0.25">
      <c r="A19" s="178" t="str">
        <f>'[1]2. MATRIZ DE RIESGOS'!A67</f>
        <v>GF29</v>
      </c>
      <c r="B19" s="179" t="str">
        <f>'[1]2. MATRIZ DE RIESGOS'!G67</f>
        <v>Posiblidad de afectación económica y reputacional, reflejada en multas y sanciones por parte de la DIAN y el Distrito de Medellín así como por hallazgos de los Entes de Control, debido a que no se cumpla el cronograma de pago de impuestos.</v>
      </c>
      <c r="C19" s="211">
        <f>'[1]2. MATRIZ DE RIESGOS'!AE67</f>
        <v>4.6655999999999996E-2</v>
      </c>
      <c r="D19" s="180">
        <f>'[1]2. MATRIZ DE RIESGOS'!AG67</f>
        <v>0.60000000000000009</v>
      </c>
      <c r="E19" s="212" t="str">
        <f t="shared" si="0"/>
        <v>Muy Baja</v>
      </c>
      <c r="F19" s="212" t="str">
        <f t="shared" si="1"/>
        <v>Moderado</v>
      </c>
      <c r="G19" s="179" t="str">
        <f t="shared" si="2"/>
        <v>Moderado</v>
      </c>
      <c r="H19" s="181"/>
      <c r="I19" s="181"/>
      <c r="J19" s="181"/>
      <c r="K19" s="181"/>
      <c r="L19" s="181"/>
      <c r="M19" s="181"/>
      <c r="N19" s="181"/>
      <c r="O19" s="181"/>
      <c r="P19" s="181"/>
      <c r="Q19" s="202"/>
      <c r="R19" s="202"/>
      <c r="S19" s="203"/>
      <c r="AA19" s="200"/>
      <c r="AB19" s="200"/>
      <c r="AC19" s="177"/>
      <c r="AD19" s="198"/>
      <c r="AE19" s="198"/>
      <c r="AF19" s="198"/>
      <c r="AG19" s="198"/>
      <c r="AH19" s="198"/>
      <c r="AI19" s="198"/>
      <c r="AJ19" s="185"/>
      <c r="AK19" s="177"/>
      <c r="AL19" s="177"/>
    </row>
    <row r="20" spans="1:38" ht="93" customHeight="1" x14ac:dyDescent="0.25">
      <c r="A20" s="178" t="str">
        <f>'[1]2. MATRIZ DE RIESGOS'!A73</f>
        <v>GF32</v>
      </c>
      <c r="B20" s="179" t="str">
        <f>'[1]2. MATRIZ DE RIESGOS'!G73</f>
        <v xml:space="preserve">Posibilidad de afectación económica reflejada en multas y sanciones a cargo del Instituto asi como afectación de la calidad de la información contable en lo que respecta a su veracidad y confiabilidad derivando en Hallazgos de los Entes de Control. Lo anterior, debido a la inexactitud en los saldos de la cuentas de Recursos Entregados en Administración por diferencias no justificadas entre los saldos del Estado de Situación Financiera a diciembre 31 de cada vigencia y los saldos de los reportes por operaciones recíprocas de las Entidades contratistas.
</v>
      </c>
      <c r="C20" s="211">
        <f>'[1]2. MATRIZ DE RIESGOS'!AE73</f>
        <v>0.36</v>
      </c>
      <c r="D20" s="180">
        <f>'[1]2. MATRIZ DE RIESGOS'!AG73</f>
        <v>0.44999999999999996</v>
      </c>
      <c r="E20" s="212" t="str">
        <f t="shared" si="0"/>
        <v>Baja</v>
      </c>
      <c r="F20" s="212" t="str">
        <f t="shared" si="1"/>
        <v>Moderado</v>
      </c>
      <c r="G20" s="179" t="str">
        <f t="shared" si="2"/>
        <v>Moderado</v>
      </c>
      <c r="H20" s="181"/>
      <c r="I20" s="181"/>
      <c r="J20" s="181"/>
      <c r="K20" s="181"/>
      <c r="L20" s="181"/>
      <c r="M20" s="181"/>
      <c r="N20" s="181"/>
      <c r="O20" s="181"/>
      <c r="P20" s="181"/>
      <c r="Q20" s="202"/>
      <c r="R20" s="202"/>
      <c r="AC20" s="177"/>
      <c r="AD20" s="204"/>
      <c r="AE20" s="204"/>
      <c r="AF20" s="204"/>
      <c r="AG20" s="204"/>
      <c r="AH20" s="204"/>
      <c r="AI20" s="204"/>
      <c r="AJ20" s="185"/>
      <c r="AK20" s="177"/>
      <c r="AL20" s="177"/>
    </row>
    <row r="21" spans="1:38" ht="93" customHeight="1" x14ac:dyDescent="0.25">
      <c r="A21" s="178" t="str">
        <f>'[1]2. MATRIZ DE RIESGOS'!A76</f>
        <v>GF34</v>
      </c>
      <c r="B21" s="179" t="str">
        <f>'[1]2. MATRIZ DE RIESGOS'!G76</f>
        <v>Posibilidad de afectación reputacional reflejada en hallazgos por parte de los entes de control debido a la existencia de diferencias de información de los activos de bienes inmuebles de la entidad entre libros contables e inventarios físicos que derivan en la sobreestimación o subestimación de la cuenta de inventarios.</v>
      </c>
      <c r="C21" s="211">
        <f>'[1]2. MATRIZ DE RIESGOS'!AE76</f>
        <v>0.6</v>
      </c>
      <c r="D21" s="180">
        <f>'[1]2. MATRIZ DE RIESGOS'!AG76</f>
        <v>0.44999999999999996</v>
      </c>
      <c r="E21" s="212" t="str">
        <f t="shared" si="0"/>
        <v>Media</v>
      </c>
      <c r="F21" s="212" t="str">
        <f t="shared" si="1"/>
        <v>Moderado</v>
      </c>
      <c r="G21" s="179" t="str">
        <f t="shared" si="2"/>
        <v>Moderado</v>
      </c>
      <c r="H21" s="181"/>
      <c r="I21" s="181"/>
      <c r="J21" s="181"/>
      <c r="K21" s="181"/>
      <c r="L21" s="181"/>
      <c r="M21" s="181"/>
      <c r="N21" s="181"/>
      <c r="O21" s="181"/>
      <c r="P21" s="181"/>
      <c r="Q21" s="202"/>
      <c r="R21" s="202"/>
      <c r="AC21" s="177"/>
      <c r="AD21" s="198"/>
      <c r="AE21" s="198"/>
      <c r="AF21" s="198"/>
      <c r="AG21" s="198"/>
      <c r="AH21" s="198"/>
      <c r="AI21" s="198"/>
      <c r="AJ21" s="185"/>
      <c r="AK21" s="177"/>
      <c r="AL21" s="177"/>
    </row>
    <row r="22" spans="1:38" ht="93" customHeight="1" x14ac:dyDescent="0.25">
      <c r="A22" s="178" t="str">
        <f>'[1]2. MATRIZ DE RIESGOS'!A79</f>
        <v>GF22</v>
      </c>
      <c r="B22" s="179" t="str">
        <f>'[1]2. MATRIZ DE RIESGOS'!G79</f>
        <v>Posibilidad de afectación económica del Instituto por multas y sanciones aplicadas por los entes de control, debido a la no rendición y/o rendición extemporánea de informes de ley.</v>
      </c>
      <c r="C22" s="211">
        <f>'[1]2. MATRIZ DE RIESGOS'!AE79</f>
        <v>7.5600000000000001E-2</v>
      </c>
      <c r="D22" s="180">
        <f>'[1]2. MATRIZ DE RIESGOS'!AG79</f>
        <v>0.6</v>
      </c>
      <c r="E22" s="212" t="str">
        <f t="shared" si="0"/>
        <v>Muy Baja</v>
      </c>
      <c r="F22" s="212" t="str">
        <f t="shared" si="1"/>
        <v>Moderado</v>
      </c>
      <c r="G22" s="179" t="str">
        <f t="shared" si="2"/>
        <v>Moderado</v>
      </c>
      <c r="H22" s="181"/>
      <c r="I22" s="181"/>
      <c r="J22" s="181"/>
      <c r="K22" s="181"/>
      <c r="L22" s="181"/>
      <c r="M22" s="181"/>
      <c r="N22" s="181"/>
      <c r="O22" s="181"/>
      <c r="P22" s="181"/>
      <c r="AC22" s="177"/>
      <c r="AD22" s="198"/>
      <c r="AE22" s="198"/>
      <c r="AF22" s="198"/>
      <c r="AG22" s="198"/>
      <c r="AH22" s="198"/>
      <c r="AI22" s="198"/>
      <c r="AJ22" s="185"/>
      <c r="AK22" s="177"/>
      <c r="AL22" s="177"/>
    </row>
    <row r="23" spans="1:38" ht="93" customHeight="1" x14ac:dyDescent="0.3">
      <c r="A23" s="178" t="str">
        <f>'[1]2. MATRIZ DE RIESGOS'!A84</f>
        <v>GF23</v>
      </c>
      <c r="B23" s="179" t="str">
        <f>'[1]2. MATRIZ DE RIESGOS'!G84</f>
        <v>Posibilidad de afectación económica y reputacional, por mal desempeño institucional derivado del incumplimiento de metas relacionadas con el Plan de Desarrollo Municipal a cargo del Instituto, así como por sanciones económicas, disciplinarias y/o penales por parte de los entes de control. Lo anterior debido a una asignación presupuestal errónea, que incumple los parámetros legales y contractuales establecidos</v>
      </c>
      <c r="C23" s="211">
        <f>'[1]2. MATRIZ DE RIESGOS'!AE84</f>
        <v>7.7759999999999996E-2</v>
      </c>
      <c r="D23" s="180">
        <f>'[1]2. MATRIZ DE RIESGOS'!AG84</f>
        <v>0.75</v>
      </c>
      <c r="E23" s="212" t="str">
        <f t="shared" si="0"/>
        <v>Muy Baja</v>
      </c>
      <c r="F23" s="212" t="str">
        <f t="shared" si="1"/>
        <v>Mayor</v>
      </c>
      <c r="G23" s="179" t="str">
        <f t="shared" si="2"/>
        <v>Alto</v>
      </c>
      <c r="H23" s="181"/>
      <c r="I23" s="181"/>
      <c r="J23" s="181"/>
      <c r="K23" s="181"/>
      <c r="L23" s="181"/>
      <c r="M23" s="181"/>
      <c r="N23" s="181"/>
      <c r="O23" s="181"/>
      <c r="P23" s="181"/>
    </row>
    <row r="24" spans="1:38" ht="93" customHeight="1" x14ac:dyDescent="0.3">
      <c r="A24" s="178" t="str">
        <f>'[1]2. MATRIZ DE RIESGOS'!A90</f>
        <v>GF24</v>
      </c>
      <c r="B24" s="179" t="str">
        <f>'[1]2. MATRIZ DE RIESGOS'!G90</f>
        <v xml:space="preserve">Posibilidad de afectación economica y reputacional reflejada en: 
1. baja ejecución presupuestal que podría conllevar a unareducción del presupuesto inicialmente asignado y/o  congelación o no giro de la transferencias distritales. 2. requerimientos del Distrito, el Consejo Distrital y/o entes de control derivados del
incumplimiento de metas de Plan de Desarrollo. 3. requerimientos por parte de la comunidad en relación con el incumplimiento en la prestación de los serviciós del Instituto y 4 requerimientos por parte de los contratistas en relación con el incumplimiento de las obligaciones contractuales a cargo del Instituto.
Lo anterior, debido a que no se generen alertas oportunas por parte del area de Presupuesto con relación a la ejecución presupuestal. </v>
      </c>
      <c r="C24" s="211">
        <f>'[1]2. MATRIZ DE RIESGOS'!AE90</f>
        <v>0.216</v>
      </c>
      <c r="D24" s="180">
        <f>'[1]2. MATRIZ DE RIESGOS'!AG90</f>
        <v>0.8</v>
      </c>
      <c r="E24" s="212" t="str">
        <f t="shared" si="0"/>
        <v>Baja</v>
      </c>
      <c r="F24" s="212" t="str">
        <f t="shared" si="1"/>
        <v>Mayor</v>
      </c>
      <c r="G24" s="179" t="str">
        <f t="shared" si="2"/>
        <v>Alto</v>
      </c>
      <c r="H24" s="181"/>
      <c r="I24" s="181"/>
      <c r="J24" s="181"/>
      <c r="K24" s="181"/>
      <c r="L24" s="181"/>
      <c r="M24" s="181"/>
      <c r="N24" s="181"/>
      <c r="O24" s="181"/>
      <c r="P24" s="181"/>
    </row>
    <row r="25" spans="1:38" ht="93" customHeight="1" x14ac:dyDescent="0.3">
      <c r="A25" s="178" t="str">
        <f>'[1]2. MATRIZ DE RIESGOS'!A92</f>
        <v>GF25</v>
      </c>
      <c r="B25" s="179" t="str">
        <f>'[1]2. MATRIZ DE RIESGOS'!G92</f>
        <v>Posiblidad de afectación reputacional por incumplimiento en la ejecución presupuestal de ingresos y gastos proyectada, debido a la existencia de traslados presupuestales por rubros deficitados sin justificación valida</v>
      </c>
      <c r="C25" s="211">
        <f>'[1]2. MATRIZ DE RIESGOS'!AE92</f>
        <v>0.24</v>
      </c>
      <c r="D25" s="180">
        <f>'[1]2. MATRIZ DE RIESGOS'!AG92</f>
        <v>0.44999999999999996</v>
      </c>
      <c r="E25" s="212" t="str">
        <f t="shared" si="0"/>
        <v>Baja</v>
      </c>
      <c r="F25" s="212" t="str">
        <f t="shared" si="1"/>
        <v>Moderado</v>
      </c>
      <c r="G25" s="179" t="str">
        <f t="shared" si="2"/>
        <v>Moderado</v>
      </c>
      <c r="H25" s="181"/>
      <c r="I25" s="181"/>
      <c r="J25" s="181"/>
      <c r="K25" s="181"/>
      <c r="L25" s="181"/>
      <c r="M25" s="181"/>
      <c r="N25" s="181"/>
      <c r="O25" s="181"/>
      <c r="P25" s="181"/>
    </row>
    <row r="26" spans="1:38" ht="93" customHeight="1" x14ac:dyDescent="0.3">
      <c r="A26" s="178" t="str">
        <f>'[1]2. MATRIZ DE RIESGOS'!A94</f>
        <v>GF26</v>
      </c>
      <c r="B26" s="179" t="str">
        <f>'[1]2. MATRIZ DE RIESGOS'!G94</f>
        <v>Posibilidad de afectación reputacional y económical reflejada en hallazgos de los entes de control asi como el pago de intereses de mora, debido a  el pago inoportuno de las comisiones fiduciarias de acuerdo con los términos establecidos en el contrato fiduciario.</v>
      </c>
      <c r="C26" s="211">
        <f>'[1]2. MATRIZ DE RIESGOS'!AE94</f>
        <v>0.12959999999999999</v>
      </c>
      <c r="D26" s="180">
        <f>'[1]2. MATRIZ DE RIESGOS'!AG94</f>
        <v>0.6</v>
      </c>
      <c r="E26" s="212" t="str">
        <f t="shared" si="0"/>
        <v>Muy Baja</v>
      </c>
      <c r="F26" s="212" t="str">
        <f t="shared" si="1"/>
        <v>Moderado</v>
      </c>
      <c r="G26" s="179" t="str">
        <f t="shared" si="2"/>
        <v>Moderado</v>
      </c>
      <c r="H26" s="181"/>
      <c r="I26" s="181"/>
      <c r="J26" s="181"/>
      <c r="K26" s="181"/>
      <c r="L26" s="181"/>
      <c r="M26" s="181"/>
      <c r="N26" s="181"/>
      <c r="O26" s="181"/>
      <c r="P26" s="181"/>
    </row>
    <row r="27" spans="1:38" ht="87" customHeight="1" x14ac:dyDescent="0.3">
      <c r="A27" s="178" t="str">
        <f>'[1]2. MATRIZ DE RIESGOS'!A97</f>
        <v>GF27</v>
      </c>
      <c r="B27" s="179" t="str">
        <f>'[1]2. MATRIZ DE RIESGOS'!G97</f>
        <v xml:space="preserve">Posibilidad de afectación económica y reputacional reflejada en el 
detrimento patrimonial derivado de la perdida de competencia para recuperar los recursos, asi como por hallazgos de los entes de control fiscal, debido a que los pagos que se realicen en el desarrollo de los contratos fiduciarios no se encuentren deibidamente soportados. </v>
      </c>
      <c r="C27" s="211">
        <f>'[1]2. MATRIZ DE RIESGOS'!AE97</f>
        <v>0.2016</v>
      </c>
      <c r="D27" s="180">
        <f>'[1]2. MATRIZ DE RIESGOS'!AG97</f>
        <v>0.8</v>
      </c>
      <c r="E27" s="212" t="str">
        <f>+IF(C27=0,"",IF(C27&lt;=$R$11,$S$11,IF(C27&lt;=$R$10,$S$10,IF(C27&lt;=$R$9,$S$9,IF(C27&lt;=$R$8,$S$8,IF(C27&lt;=$R$7,$S$7,""))))))</f>
        <v>Baja</v>
      </c>
      <c r="F27" s="212" t="str">
        <f>+IF(D27=0,"",IF(D27&lt;=$T$5,$T$6,IF(D27&lt;=$U$5,$U$6,IF(D27&lt;=$V$5,$V$6,IF(D27&lt;=$W$5,$W$6,IF(D27&lt;=$X$5,$X$6,""))))))</f>
        <v>Mayor</v>
      </c>
      <c r="G27" s="179" t="str">
        <f>+IF(E27=$S$7,IF(F27=$T$6,$T$7,IF(F27=$U$6,$U$7,IF(F27=$V$6,$V$7,IF(F27=$W$6,$W$7,IF(F27=$X$6,$X$7))))),IF(E27=$S$8,IF(F27=$T$6,$T$8,IF(F27=$U$6,$U$8,IF(F27=$V$6,$V$8,IF(F27=$W$6,$W$8,IF(F27=$X$6,$X$8))))),IF(E27=$S$9,IF(F27=$T$6,$T$9,IF(F27=$U$6,$U$9,IF(F27=$V$6,$V$9,IF(F27=$W$6,$W$9,IF(F27=$X$6,$X$9))))),IF(E27=$S$10,IF(F27=$T$6,$T$10,IF(F27=$U$6,$U$10,IF(F27=$V$6,$V$10,IF(F27=$W$6,$W$10,IF(F27=$X$6,$X$10))))),IF(E27=$S$11,IF(F27=$T$6,$T$11,IF(F27=$U$6,$U$11,IF(F27=$V$6,$V$11,IF(F27=$W$6,$W$11,IF(F27=$X$6,$X$11))))),"")))))</f>
        <v>Alto</v>
      </c>
      <c r="H27" s="163"/>
      <c r="I27" s="163"/>
      <c r="J27" s="163"/>
      <c r="K27" s="163"/>
      <c r="L27" s="163"/>
      <c r="M27" s="163"/>
      <c r="N27" s="163"/>
      <c r="O27" s="163"/>
      <c r="P27" s="163"/>
      <c r="AA27" s="167"/>
      <c r="AB27" s="167"/>
      <c r="AC27" s="167"/>
      <c r="AD27" s="167"/>
      <c r="AE27" s="167"/>
      <c r="AF27" s="163"/>
      <c r="AG27" s="163"/>
      <c r="AH27" s="163"/>
      <c r="AI27" s="163"/>
      <c r="AJ27" s="163"/>
    </row>
    <row r="28" spans="1:38" ht="74.400000000000006" customHeight="1" x14ac:dyDescent="0.3">
      <c r="A28" s="178" t="str">
        <f>'[1]2. MATRIZ DE RIESGOS'!A100</f>
        <v>GF28</v>
      </c>
      <c r="B28" s="179" t="str">
        <f>'[1]2. MATRIZ DE RIESGOS'!G100</f>
        <v>Posilbidad de afectación reputacional del Instituto reflejada en requerimientos por parte de la Secretaría de Hacienda del Distrito asi como hallazgos por parte de la Contraloría Distrital de Medellín, debido a que no se restituyan los rendimientos financieros de la totalidad de las cuentas de los negocios fiduciarios de manera oportuna y en cumplimiento de los lineamientos establecidos en los contratos matriz y la normatividad aplicable.</v>
      </c>
      <c r="C28" s="211">
        <f>'[1]2. MATRIZ DE RIESGOS'!AE100</f>
        <v>0.28799999999999998</v>
      </c>
      <c r="D28" s="180">
        <f>'[1]2. MATRIZ DE RIESGOS'!AG100</f>
        <v>0.6</v>
      </c>
      <c r="E28" s="212" t="str">
        <f>+IF(C28=0,"",IF(C28&lt;=$R$11,$S$11,IF(C28&lt;=$R$10,$S$10,IF(C28&lt;=$R$9,$S$9,IF(C28&lt;=$R$8,$S$8,IF(C28&lt;=$R$7,$S$7,""))))))</f>
        <v>Baja</v>
      </c>
      <c r="F28" s="212" t="str">
        <f>+IF(D28=0,"",IF(D28&lt;=$T$5,$T$6,IF(D28&lt;=$U$5,$U$6,IF(D28&lt;=$V$5,$V$6,IF(D28&lt;=$W$5,$W$6,IF(D28&lt;=$X$5,$X$6,""))))))</f>
        <v>Moderado</v>
      </c>
      <c r="G28" s="179" t="str">
        <f>+IF(E28=$S$7,IF(F28=$T$6,$T$7,IF(F28=$U$6,$U$7,IF(F28=$V$6,$V$7,IF(F28=$W$6,$W$7,IF(F28=$X$6,$X$7))))),IF(E28=$S$8,IF(F28=$T$6,$T$8,IF(F28=$U$6,$U$8,IF(F28=$V$6,$V$8,IF(F28=$W$6,$W$8,IF(F28=$X$6,$X$8))))),IF(E28=$S$9,IF(F28=$T$6,$T$9,IF(F28=$U$6,$U$9,IF(F28=$V$6,$V$9,IF(F28=$W$6,$W$9,IF(F28=$X$6,$X$9))))),IF(E28=$S$10,IF(F28=$T$6,$T$10,IF(F28=$U$6,$U$10,IF(F28=$V$6,$V$10,IF(F28=$W$6,$W$10,IF(F28=$X$6,$X$10))))),IF(E28=$S$11,IF(F28=$T$6,$T$11,IF(F28=$U$6,$U$11,IF(F28=$V$6,$V$11,IF(F28=$W$6,$W$11,IF(F28=$X$6,$X$11))))),"")))))</f>
        <v>Moderado</v>
      </c>
      <c r="H28" s="163"/>
      <c r="I28" s="163"/>
      <c r="J28" s="163"/>
      <c r="K28" s="163"/>
      <c r="L28" s="163"/>
      <c r="M28" s="163"/>
      <c r="N28" s="163"/>
      <c r="O28" s="163"/>
      <c r="P28" s="163"/>
      <c r="AA28" s="167"/>
      <c r="AB28" s="167"/>
      <c r="AC28" s="167"/>
      <c r="AD28" s="167"/>
      <c r="AE28" s="167"/>
      <c r="AF28" s="163"/>
      <c r="AG28" s="163"/>
      <c r="AH28" s="163"/>
      <c r="AI28" s="163"/>
      <c r="AJ28" s="163"/>
    </row>
    <row r="29" spans="1:38" ht="78.599999999999994" customHeight="1" x14ac:dyDescent="0.3">
      <c r="A29" s="178" t="str">
        <f>'[1]2. MATRIZ DE RIESGOS'!A103</f>
        <v>GF29</v>
      </c>
      <c r="B29" s="179" t="str">
        <f>'[1]2. MATRIZ DE RIESGOS'!G103</f>
        <v>Posilbidad de afectación reputacional reflejada en hallazgos por parte de los entes de control, debido a la existencia de  diferencias entre los saldos de cada cuenta fiduciaria y lo registrado en contablidad.</v>
      </c>
      <c r="C29" s="211">
        <f>'[1]2. MATRIZ DE RIESGOS'!AE103</f>
        <v>0.42</v>
      </c>
      <c r="D29" s="180">
        <f>'[1]2. MATRIZ DE RIESGOS'!AG103</f>
        <v>0.6</v>
      </c>
      <c r="E29" s="212" t="str">
        <f>+IF(C29=0,"",IF(C29&lt;=$R$11,$S$11,IF(C29&lt;=$R$10,$S$10,IF(C29&lt;=$R$9,$S$9,IF(C29&lt;=$R$8,$S$8,IF(C29&lt;=$R$7,$S$7,""))))))</f>
        <v>Media</v>
      </c>
      <c r="F29" s="212" t="str">
        <f>+IF(D29=0,"",IF(D29&lt;=$T$5,$T$6,IF(D29&lt;=$U$5,$U$6,IF(D29&lt;=$V$5,$V$6,IF(D29&lt;=$W$5,$W$6,IF(D29&lt;=$X$5,$X$6,""))))))</f>
        <v>Moderado</v>
      </c>
      <c r="G29" s="179" t="str">
        <f>+IF(E29=$S$7,IF(F29=$T$6,$T$7,IF(F29=$U$6,$U$7,IF(F29=$V$6,$V$7,IF(F29=$W$6,$W$7,IF(F29=$X$6,$X$7))))),IF(E29=$S$8,IF(F29=$T$6,$T$8,IF(F29=$U$6,$U$8,IF(F29=$V$6,$V$8,IF(F29=$W$6,$W$8,IF(F29=$X$6,$X$8))))),IF(E29=$S$9,IF(F29=$T$6,$T$9,IF(F29=$U$6,$U$9,IF(F29=$V$6,$V$9,IF(F29=$W$6,$W$9,IF(F29=$X$6,$X$9))))),IF(E29=$S$10,IF(F29=$T$6,$T$10,IF(F29=$U$6,$U$10,IF(F29=$V$6,$V$10,IF(F29=$W$6,$W$10,IF(F29=$X$6,$X$10))))),IF(E29=$S$11,IF(F29=$T$6,$T$11,IF(F29=$U$6,$U$11,IF(F29=$V$6,$V$11,IF(F29=$W$6,$W$11,IF(F29=$X$6,$X$11))))),"")))))</f>
        <v>Moderado</v>
      </c>
      <c r="H29" s="163"/>
      <c r="I29" s="163"/>
      <c r="J29" s="163"/>
      <c r="K29" s="163"/>
      <c r="L29" s="163"/>
      <c r="M29" s="163"/>
      <c r="N29" s="163"/>
      <c r="O29" s="163"/>
      <c r="P29" s="163"/>
      <c r="AA29" s="167"/>
      <c r="AB29" s="167"/>
      <c r="AC29" s="167"/>
      <c r="AD29" s="167"/>
      <c r="AE29" s="167"/>
      <c r="AF29" s="163"/>
      <c r="AG29" s="163"/>
      <c r="AH29" s="163"/>
      <c r="AI29" s="163"/>
      <c r="AJ29" s="163"/>
    </row>
    <row r="30" spans="1:38" ht="87" customHeight="1" x14ac:dyDescent="0.3">
      <c r="A30" s="178" t="str">
        <f>'[1]2. MATRIZ DE RIESGOS'!A105</f>
        <v>GF30</v>
      </c>
      <c r="B30" s="179" t="str">
        <f>'[1]2. MATRIZ DE RIESGOS'!G105</f>
        <v>Posilbidad de afectación reputacional por hallazgos por parte de los entes de control, debido a que existan diferencias entre la información financiera relacionada con ingresos y egresos de las subcuentas del contrato a liquidar con los documentos que la soportan, de manera que no permitan la liquidación del mismo.
Nota:los documentos soportes se refieren a: los movimientos de los extractos, soportes de pago, contrato inicial y modificaciones, e informe de supervisión</v>
      </c>
      <c r="C30" s="211">
        <f>'[1]2. MATRIZ DE RIESGOS'!AE105</f>
        <v>0.42</v>
      </c>
      <c r="D30" s="180">
        <f>'[1]2. MATRIZ DE RIESGOS'!AG105</f>
        <v>0.6</v>
      </c>
      <c r="E30" s="212" t="str">
        <f>+IF(C30=0,"",IF(C30&lt;=$R$11,$S$11,IF(C30&lt;=$R$10,$S$10,IF(C30&lt;=$R$9,$S$9,IF(C30&lt;=$R$8,$S$8,IF(C30&lt;=$R$7,$S$7,""))))))</f>
        <v>Media</v>
      </c>
      <c r="F30" s="212" t="str">
        <f>+IF(D30=0,"",IF(D30&lt;=$T$5,$T$6,IF(D30&lt;=$U$5,$U$6,IF(D30&lt;=$V$5,$V$6,IF(D30&lt;=$W$5,$W$6,IF(D30&lt;=$X$5,$X$6,""))))))</f>
        <v>Moderado</v>
      </c>
      <c r="G30" s="179" t="str">
        <f>+IF(E30=$S$7,IF(F30=$T$6,$T$7,IF(F30=$U$6,$U$7,IF(F30=$V$6,$V$7,IF(F30=$W$6,$W$7,IF(F30=$X$6,$X$7))))),IF(E30=$S$8,IF(F30=$T$6,$T$8,IF(F30=$U$6,$U$8,IF(F30=$V$6,$V$8,IF(F30=$W$6,$W$8,IF(F30=$X$6,$X$8))))),IF(E30=$S$9,IF(F30=$T$6,$T$9,IF(F30=$U$6,$U$9,IF(F30=$V$6,$V$9,IF(F30=$W$6,$W$9,IF(F30=$X$6,$X$9))))),IF(E30=$S$10,IF(F30=$T$6,$T$10,IF(F30=$U$6,$U$10,IF(F30=$V$6,$V$10,IF(F30=$W$6,$W$10,IF(F30=$X$6,$X$10))))),IF(E30=$S$11,IF(F30=$T$6,$T$11,IF(F30=$U$6,$U$11,IF(F30=$V$6,$V$11,IF(F30=$W$6,$W$11,IF(F30=$X$6,$X$11))))),"")))))</f>
        <v>Moderado</v>
      </c>
      <c r="H30" s="163"/>
      <c r="I30" s="163"/>
      <c r="J30" s="163"/>
      <c r="K30" s="163"/>
      <c r="L30" s="163"/>
      <c r="M30" s="163"/>
      <c r="N30" s="163"/>
      <c r="O30" s="163"/>
      <c r="P30" s="163"/>
      <c r="AA30" s="167"/>
      <c r="AB30" s="167"/>
      <c r="AC30" s="167"/>
      <c r="AD30" s="167"/>
      <c r="AE30" s="167"/>
      <c r="AF30" s="163"/>
      <c r="AG30" s="163"/>
      <c r="AH30" s="163"/>
      <c r="AI30" s="163"/>
      <c r="AJ30" s="163"/>
    </row>
    <row r="31" spans="1:38" ht="112.2" customHeight="1" x14ac:dyDescent="0.3">
      <c r="A31" s="178" t="str">
        <f>'[1]2. MATRIZ DE RIESGOS'!A107</f>
        <v>GF31</v>
      </c>
      <c r="B31" s="179" t="str">
        <f>'[1]2. MATRIZ DE RIESGOS'!G107</f>
        <v xml:space="preserve">Posibilidad de afectación reputacional del Instituto reflejada en PQRS por parte de acreedores y contratistas en razón de la demora en los pagos así como por hallazgos por de los entes de control, debido a se que realicen pagos utilizando recursos de patrimonios autónomos no asignados a un proyecto específico, afectando pagos de otros proyectos. </v>
      </c>
      <c r="C31" s="211">
        <f>'[1]2. MATRIZ DE RIESGOS'!AE107</f>
        <v>0.36</v>
      </c>
      <c r="D31" s="180">
        <f>'[1]2. MATRIZ DE RIESGOS'!AG107</f>
        <v>0.44999999999999996</v>
      </c>
      <c r="E31" s="212" t="str">
        <f>+IF(C31=0,"",IF(C31&lt;=$R$11,$S$11,IF(C31&lt;=$R$10,$S$10,IF(C31&lt;=$R$9,$S$9,IF(C31&lt;=$R$8,$S$8,IF(C31&lt;=$R$7,$S$7,""))))))</f>
        <v>Baja</v>
      </c>
      <c r="F31" s="212" t="str">
        <f>+IF(D31=0,"",IF(D31&lt;=$T$5,$T$6,IF(D31&lt;=$U$5,$U$6,IF(D31&lt;=$V$5,$V$6,IF(D31&lt;=$W$5,$W$6,IF(D31&lt;=$X$5,$X$6,""))))))</f>
        <v>Moderado</v>
      </c>
      <c r="G31" s="179" t="str">
        <f>+IF(E31=$S$7,IF(F31=$T$6,$T$7,IF(F31=$U$6,$U$7,IF(F31=$V$6,$V$7,IF(F31=$W$6,$W$7,IF(F31=$X$6,$X$7))))),IF(E31=$S$8,IF(F31=$T$6,$T$8,IF(F31=$U$6,$U$8,IF(F31=$V$6,$V$8,IF(F31=$W$6,$W$8,IF(F31=$X$6,$X$8))))),IF(E31=$S$9,IF(F31=$T$6,$T$9,IF(F31=$U$6,$U$9,IF(F31=$V$6,$V$9,IF(F31=$W$6,$W$9,IF(F31=$X$6,$X$9))))),IF(E31=$S$10,IF(F31=$T$6,$T$10,IF(F31=$U$6,$U$10,IF(F31=$V$6,$V$10,IF(F31=$W$6,$W$10,IF(F31=$X$6,$X$10))))),IF(E31=$S$11,IF(F31=$T$6,$T$11,IF(F31=$U$6,$U$11,IF(F31=$V$6,$V$11,IF(F31=$W$6,$W$11,IF(F31=$X$6,$X$11))))),"")))))</f>
        <v>Moderado</v>
      </c>
      <c r="H31" s="163"/>
      <c r="I31" s="163"/>
      <c r="J31" s="163"/>
      <c r="K31" s="163"/>
      <c r="L31" s="163"/>
      <c r="M31" s="163"/>
      <c r="N31" s="163"/>
      <c r="O31" s="163"/>
      <c r="P31" s="163"/>
      <c r="AA31" s="167"/>
      <c r="AB31" s="167"/>
      <c r="AC31" s="167"/>
      <c r="AD31" s="167"/>
      <c r="AE31" s="167"/>
      <c r="AF31" s="163"/>
      <c r="AG31" s="163"/>
      <c r="AH31" s="163"/>
      <c r="AI31" s="163"/>
      <c r="AJ31" s="163"/>
    </row>
    <row r="32" spans="1:38" ht="96.6" customHeight="1" x14ac:dyDescent="0.3">
      <c r="H32" s="163"/>
      <c r="I32" s="163"/>
      <c r="J32" s="163"/>
      <c r="K32" s="163"/>
      <c r="L32" s="163"/>
      <c r="M32" s="163"/>
      <c r="N32" s="163"/>
      <c r="O32" s="163"/>
      <c r="P32" s="163"/>
      <c r="AA32" s="167"/>
      <c r="AB32" s="167"/>
      <c r="AC32" s="167"/>
      <c r="AD32" s="167"/>
      <c r="AE32" s="167"/>
      <c r="AF32" s="163"/>
      <c r="AG32" s="163"/>
      <c r="AH32" s="163"/>
      <c r="AI32" s="163"/>
      <c r="AJ32" s="163"/>
    </row>
    <row r="33" spans="1:36" ht="60.6" customHeight="1" x14ac:dyDescent="0.3">
      <c r="A33" s="178"/>
      <c r="B33" s="179"/>
      <c r="C33" s="211"/>
      <c r="D33" s="180"/>
      <c r="G33" s="163"/>
      <c r="H33" s="163"/>
      <c r="I33" s="163"/>
      <c r="J33" s="163"/>
      <c r="K33" s="163"/>
      <c r="L33" s="163"/>
      <c r="M33" s="163"/>
      <c r="N33" s="163"/>
      <c r="O33" s="163"/>
      <c r="P33" s="163"/>
      <c r="AA33" s="167"/>
      <c r="AB33" s="167"/>
      <c r="AC33" s="167"/>
      <c r="AD33" s="167"/>
      <c r="AE33" s="167"/>
      <c r="AF33" s="163"/>
      <c r="AG33" s="163"/>
      <c r="AH33" s="163"/>
      <c r="AI33" s="163"/>
      <c r="AJ33" s="163"/>
    </row>
    <row r="34" spans="1:36" x14ac:dyDescent="0.3">
      <c r="A34" s="178"/>
      <c r="B34" s="179"/>
      <c r="C34" s="211"/>
      <c r="D34" s="180"/>
    </row>
    <row r="35" spans="1:36" ht="13.2" customHeight="1" x14ac:dyDescent="0.3">
      <c r="A35" s="178"/>
      <c r="B35" s="179"/>
      <c r="C35" s="211"/>
      <c r="D35" s="180"/>
    </row>
    <row r="36" spans="1:36" ht="13.2" customHeight="1" x14ac:dyDescent="0.3">
      <c r="A36" s="178"/>
      <c r="B36" s="179"/>
      <c r="C36" s="211"/>
      <c r="D36" s="180"/>
    </row>
  </sheetData>
  <sheetProtection formatCells="0" formatColumns="0" formatRows="0" sort="0" autoFilter="0" pivotTables="0"/>
  <dataConsolidate link="1"/>
  <mergeCells count="9">
    <mergeCell ref="I7:I11"/>
    <mergeCell ref="Q7:Q11"/>
    <mergeCell ref="A1:D1"/>
    <mergeCell ref="B3:D3"/>
    <mergeCell ref="K3:V3"/>
    <mergeCell ref="I4:O4"/>
    <mergeCell ref="T4:X4"/>
    <mergeCell ref="E5:G5"/>
    <mergeCell ref="K5:O5"/>
  </mergeCells>
  <conditionalFormatting sqref="D7:E31 D33:D36">
    <cfRule type="cellIs" dxfId="31" priority="1" operator="equal">
      <formula>$S$11</formula>
    </cfRule>
    <cfRule type="cellIs" dxfId="30" priority="2" operator="equal">
      <formula>$S$10</formula>
    </cfRule>
    <cfRule type="cellIs" dxfId="29" priority="3" operator="equal">
      <formula>$S$9</formula>
    </cfRule>
    <cfRule type="cellIs" dxfId="28" priority="4" operator="equal">
      <formula>$S$8</formula>
    </cfRule>
    <cfRule type="cellIs" dxfId="27" priority="5" operator="equal">
      <formula>$S$7</formula>
    </cfRule>
  </conditionalFormatting>
  <conditionalFormatting sqref="F7:F31">
    <cfRule type="cellIs" dxfId="26" priority="6" operator="equal">
      <formula>$T$6</formula>
    </cfRule>
    <cfRule type="cellIs" dxfId="25" priority="7" operator="equal">
      <formula>$U$6</formula>
    </cfRule>
    <cfRule type="cellIs" dxfId="24" priority="8" operator="equal">
      <formula>$V$6</formula>
    </cfRule>
    <cfRule type="cellIs" dxfId="23" priority="9" operator="equal">
      <formula>$W$6</formula>
    </cfRule>
    <cfRule type="cellIs" dxfId="22" priority="10" operator="equal">
      <formula>$X$6</formula>
    </cfRule>
  </conditionalFormatting>
  <conditionalFormatting sqref="G7:G31">
    <cfRule type="cellIs" dxfId="21" priority="11" operator="equal">
      <formula>$J$14</formula>
    </cfRule>
    <cfRule type="cellIs" dxfId="20" priority="12" operator="equal">
      <formula>$J$15</formula>
    </cfRule>
    <cfRule type="cellIs" dxfId="19" priority="13" operator="equal">
      <formula>$J$16</formula>
    </cfRule>
    <cfRule type="cellIs" dxfId="18" priority="14" operator="equal">
      <formula>$J$17</formula>
    </cfRule>
  </conditionalFormatting>
  <dataValidations count="3">
    <dataValidation type="list" allowBlank="1" showInputMessage="1" showErrorMessage="1" sqref="JD7:JJ14" xr:uid="{2A432145-E595-425B-AC2B-7C0B203907E2}">
      <formula1>#REF!</formula1>
    </dataValidation>
    <dataValidation allowBlank="1" showInputMessage="1" showErrorMessage="1" prompt="La probabilidad se encuentra determinada por una escala de 1 a 3, siendo 1 la menor probabilidad de ocurrencia del riesgo y 3 la mayor probabilidad de  ocurrencia." sqref="JC6" xr:uid="{C22F07F2-974C-4A7C-87F4-8519AFF42D2B}"/>
    <dataValidation allowBlank="1" showInputMessage="1" showErrorMessage="1" prompt="Es la materialización del riesgo y las consecuencias de su aparición. Su escala es: 5 bajo impacto, 10 medio, 20 alto impacto._x000a_" sqref="JD6:JJ6" xr:uid="{696750D8-2643-42E0-B320-3322D3CDECF6}"/>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F2326-CBA6-4982-BE44-6D1E8A3B6AEC}">
  <dimension ref="A1:JH72"/>
  <sheetViews>
    <sheetView showGridLines="0" zoomScaleNormal="100" workbookViewId="0">
      <selection activeCell="E11" sqref="E11"/>
    </sheetView>
  </sheetViews>
  <sheetFormatPr baseColWidth="10" defaultColWidth="0" defaultRowHeight="0" customHeight="1" zeroHeight="1" x14ac:dyDescent="0.3"/>
  <cols>
    <col min="1" max="1" width="14.6640625" style="163" customWidth="1"/>
    <col min="2" max="2" width="9.21875" style="167" bestFit="1" customWidth="1"/>
    <col min="3" max="4" width="15.44140625" style="167" customWidth="1"/>
    <col min="5" max="6" width="15.44140625" style="213" customWidth="1"/>
    <col min="7" max="7" width="15.44140625" style="167" customWidth="1"/>
    <col min="8" max="8" width="3.77734375" style="167" customWidth="1"/>
    <col min="9" max="9" width="7.44140625" style="167" customWidth="1"/>
    <col min="10" max="10" width="14" style="167" customWidth="1"/>
    <col min="11" max="15" width="12.44140625" style="167" customWidth="1"/>
    <col min="16" max="16" width="3.77734375" style="167" customWidth="1"/>
    <col min="17" max="17" width="4.77734375" style="163" hidden="1" customWidth="1"/>
    <col min="18" max="18" width="6.21875" style="163" hidden="1" customWidth="1"/>
    <col min="19" max="24" width="14" style="163" hidden="1" customWidth="1"/>
    <col min="25" max="29" width="11.44140625" style="163" customWidth="1"/>
    <col min="30" max="30" width="5.44140625" style="163" bestFit="1" customWidth="1"/>
    <col min="31" max="31" width="26.77734375" style="163" customWidth="1"/>
    <col min="32" max="32" width="22.77734375" style="167" customWidth="1"/>
    <col min="33" max="36" width="22.77734375" style="167" hidden="1" customWidth="1"/>
    <col min="37" max="37" width="23.44140625" style="163" hidden="1" customWidth="1"/>
    <col min="38" max="265" width="11.44140625" style="163" hidden="1" customWidth="1"/>
    <col min="266" max="266" width="12.44140625" style="163" hidden="1" customWidth="1"/>
    <col min="267" max="267" width="47" style="163" hidden="1" customWidth="1"/>
    <col min="268" max="268" width="35" style="163" hidden="1" customWidth="1"/>
    <col min="269" max="16384" width="14.44140625" style="163" hidden="1"/>
  </cols>
  <sheetData>
    <row r="1" spans="1:38" s="143" customFormat="1" ht="13.2" x14ac:dyDescent="0.25">
      <c r="A1" s="145"/>
      <c r="B1" s="137"/>
      <c r="C1" s="137"/>
      <c r="D1" s="137"/>
      <c r="E1" s="206"/>
      <c r="F1" s="206"/>
      <c r="G1" s="137"/>
      <c r="H1" s="137"/>
      <c r="N1" s="142"/>
      <c r="O1" s="142"/>
      <c r="P1" s="137"/>
      <c r="AF1" s="144"/>
      <c r="AG1" s="144"/>
      <c r="AH1" s="144"/>
      <c r="AI1" s="144"/>
      <c r="AJ1" s="144"/>
    </row>
    <row r="2" spans="1:38" s="143" customFormat="1" ht="33" customHeight="1" x14ac:dyDescent="0.25">
      <c r="A2" s="470" t="s">
        <v>722</v>
      </c>
      <c r="B2" s="471"/>
      <c r="C2" s="471"/>
      <c r="D2" s="472"/>
      <c r="E2" s="208"/>
      <c r="F2" s="206"/>
      <c r="G2" s="137"/>
      <c r="H2" s="137"/>
      <c r="I2" s="214"/>
      <c r="J2" s="214"/>
      <c r="K2" s="153"/>
      <c r="L2" s="153"/>
      <c r="M2" s="153"/>
      <c r="N2" s="142"/>
      <c r="O2" s="142"/>
      <c r="P2" s="137"/>
      <c r="AF2" s="144"/>
      <c r="AG2" s="144"/>
      <c r="AH2" s="144"/>
      <c r="AI2" s="144"/>
      <c r="AJ2" s="144"/>
    </row>
    <row r="3" spans="1:38" s="143" customFormat="1" ht="33" customHeight="1" x14ac:dyDescent="0.25">
      <c r="A3" s="151" t="s">
        <v>70</v>
      </c>
      <c r="B3" s="451" t="str">
        <f>'[1]2. MATRIZ DE RIESGOS'!D6</f>
        <v>Gestión Financiera</v>
      </c>
      <c r="C3" s="473"/>
      <c r="D3" s="473"/>
      <c r="E3" s="208"/>
      <c r="F3" s="206"/>
      <c r="G3" s="137"/>
      <c r="H3" s="137"/>
      <c r="I3" s="214"/>
      <c r="J3" s="214"/>
      <c r="K3" s="153"/>
      <c r="L3" s="153"/>
      <c r="M3" s="153"/>
      <c r="N3" s="142"/>
      <c r="O3" s="142"/>
      <c r="P3" s="137"/>
      <c r="AF3" s="144"/>
      <c r="AG3" s="144"/>
      <c r="AH3" s="144"/>
      <c r="AI3" s="144"/>
      <c r="AJ3" s="144"/>
    </row>
    <row r="4" spans="1:38" s="143" customFormat="1" ht="14.4" thickBot="1" x14ac:dyDescent="0.3">
      <c r="D4" s="208"/>
      <c r="E4" s="208"/>
      <c r="F4" s="209"/>
      <c r="AF4" s="144"/>
      <c r="AG4" s="144"/>
      <c r="AH4" s="144"/>
      <c r="AI4" s="144"/>
      <c r="AJ4" s="144"/>
    </row>
    <row r="5" spans="1:38" s="143" customFormat="1" ht="13.8" thickBot="1" x14ac:dyDescent="0.3">
      <c r="A5" s="474" t="s">
        <v>710</v>
      </c>
      <c r="B5" s="475"/>
      <c r="C5" s="475"/>
      <c r="D5" s="475"/>
      <c r="E5" s="475"/>
      <c r="F5" s="475"/>
      <c r="G5" s="476"/>
      <c r="I5" s="474" t="s">
        <v>718</v>
      </c>
      <c r="J5" s="475"/>
      <c r="K5" s="475"/>
      <c r="L5" s="475"/>
      <c r="M5" s="475"/>
      <c r="N5" s="475"/>
      <c r="O5" s="476"/>
      <c r="R5" s="154"/>
      <c r="S5" s="155"/>
      <c r="T5" s="455" t="s">
        <v>479</v>
      </c>
      <c r="U5" s="455"/>
      <c r="V5" s="455"/>
      <c r="W5" s="455"/>
      <c r="X5" s="456"/>
      <c r="AF5" s="144"/>
      <c r="AG5" s="144"/>
      <c r="AH5" s="144"/>
      <c r="AI5" s="144"/>
      <c r="AJ5" s="144"/>
    </row>
    <row r="6" spans="1:38" ht="13.2" x14ac:dyDescent="0.3">
      <c r="A6" s="160"/>
      <c r="B6" s="161"/>
      <c r="C6" s="455" t="s">
        <v>479</v>
      </c>
      <c r="D6" s="455"/>
      <c r="E6" s="455"/>
      <c r="F6" s="455"/>
      <c r="G6" s="456"/>
      <c r="H6" s="159"/>
      <c r="I6" s="160"/>
      <c r="J6" s="161"/>
      <c r="K6" s="455" t="s">
        <v>479</v>
      </c>
      <c r="L6" s="455"/>
      <c r="M6" s="455"/>
      <c r="N6" s="455"/>
      <c r="O6" s="456"/>
      <c r="P6" s="159"/>
      <c r="R6" s="162"/>
      <c r="T6" s="164">
        <v>0.2</v>
      </c>
      <c r="U6" s="164">
        <v>0.4</v>
      </c>
      <c r="V6" s="164">
        <v>0.6</v>
      </c>
      <c r="W6" s="164">
        <v>0.8</v>
      </c>
      <c r="X6" s="165">
        <v>1</v>
      </c>
      <c r="Y6" s="166"/>
      <c r="Z6" s="166"/>
      <c r="AA6" s="166"/>
      <c r="AB6" s="166"/>
      <c r="AC6" s="166"/>
      <c r="AD6" s="166"/>
      <c r="AE6" s="166"/>
    </row>
    <row r="7" spans="1:38" ht="13.2" x14ac:dyDescent="0.25">
      <c r="A7" s="162"/>
      <c r="B7" s="171"/>
      <c r="C7" s="172" t="s">
        <v>538</v>
      </c>
      <c r="D7" s="172" t="s">
        <v>494</v>
      </c>
      <c r="E7" s="172" t="s">
        <v>125</v>
      </c>
      <c r="F7" s="172" t="s">
        <v>145</v>
      </c>
      <c r="G7" s="173" t="s">
        <v>160</v>
      </c>
      <c r="H7" s="159"/>
      <c r="I7" s="162"/>
      <c r="J7" s="171"/>
      <c r="K7" s="172" t="s">
        <v>538</v>
      </c>
      <c r="L7" s="172" t="s">
        <v>494</v>
      </c>
      <c r="M7" s="172" t="s">
        <v>125</v>
      </c>
      <c r="N7" s="172" t="s">
        <v>145</v>
      </c>
      <c r="O7" s="173" t="s">
        <v>160</v>
      </c>
      <c r="P7" s="159"/>
      <c r="R7" s="162"/>
      <c r="S7" s="174"/>
      <c r="T7" s="175" t="s">
        <v>538</v>
      </c>
      <c r="U7" s="175" t="s">
        <v>494</v>
      </c>
      <c r="V7" s="175" t="s">
        <v>125</v>
      </c>
      <c r="W7" s="175" t="s">
        <v>145</v>
      </c>
      <c r="X7" s="176" t="s">
        <v>160</v>
      </c>
      <c r="AA7" s="166"/>
      <c r="AB7" s="166"/>
      <c r="AC7" s="177"/>
      <c r="AD7" s="177"/>
      <c r="AE7" s="177"/>
      <c r="AF7" s="177"/>
      <c r="AG7" s="177"/>
      <c r="AH7" s="177"/>
      <c r="AI7" s="177"/>
      <c r="AJ7" s="177"/>
      <c r="AK7" s="177"/>
      <c r="AL7" s="177"/>
    </row>
    <row r="8" spans="1:38" ht="55.5" customHeight="1" x14ac:dyDescent="0.25">
      <c r="A8" s="458" t="s">
        <v>480</v>
      </c>
      <c r="B8" s="172" t="s">
        <v>287</v>
      </c>
      <c r="C8" s="182" t="str">
        <f>+'MAPA CALOR INHERENTE'!I7</f>
        <v xml:space="preserve">                        </v>
      </c>
      <c r="D8" s="182" t="str">
        <f>+'MAPA CALOR INHERENTE'!J7</f>
        <v xml:space="preserve">                        </v>
      </c>
      <c r="E8" s="182" t="str">
        <f>+'MAPA CALOR INHERENTE'!K7</f>
        <v xml:space="preserve">                        </v>
      </c>
      <c r="F8" s="182" t="str">
        <f>+'MAPA CALOR INHERENTE'!L7</f>
        <v xml:space="preserve">        GF20                </v>
      </c>
      <c r="G8" s="183" t="str">
        <f>+'MAPA CALOR INHERENTE'!M7</f>
        <v xml:space="preserve">                        </v>
      </c>
      <c r="H8" s="181"/>
      <c r="I8" s="458" t="s">
        <v>480</v>
      </c>
      <c r="J8" s="172" t="s">
        <v>287</v>
      </c>
      <c r="K8" s="182" t="str">
        <f>+'MAPA CALOR RESIDUAL'!K7</f>
        <v xml:space="preserve">                        </v>
      </c>
      <c r="L8" s="182" t="str">
        <f>+'MAPA CALOR RESIDUAL'!L7</f>
        <v xml:space="preserve">                        </v>
      </c>
      <c r="M8" s="182" t="str">
        <f>+'MAPA CALOR RESIDUAL'!M7</f>
        <v xml:space="preserve">                        </v>
      </c>
      <c r="N8" s="182" t="str">
        <f>+'MAPA CALOR RESIDUAL'!N7</f>
        <v xml:space="preserve">                        </v>
      </c>
      <c r="O8" s="183" t="str">
        <f>+'MAPA CALOR RESIDUAL'!O7</f>
        <v xml:space="preserve">                        </v>
      </c>
      <c r="P8" s="181"/>
      <c r="Q8" s="469" t="s">
        <v>480</v>
      </c>
      <c r="R8" s="184">
        <v>1</v>
      </c>
      <c r="S8" s="175" t="s">
        <v>287</v>
      </c>
      <c r="T8" s="182" t="s">
        <v>482</v>
      </c>
      <c r="U8" s="182" t="s">
        <v>482</v>
      </c>
      <c r="V8" s="182" t="s">
        <v>482</v>
      </c>
      <c r="W8" s="182" t="s">
        <v>482</v>
      </c>
      <c r="X8" s="183" t="s">
        <v>481</v>
      </c>
      <c r="AA8" s="166"/>
      <c r="AB8" s="166"/>
      <c r="AC8" s="177"/>
      <c r="AD8" s="177"/>
      <c r="AE8" s="177"/>
      <c r="AF8" s="185"/>
      <c r="AG8" s="185"/>
      <c r="AH8" s="185"/>
      <c r="AI8" s="185"/>
      <c r="AJ8" s="185"/>
      <c r="AK8" s="177"/>
      <c r="AL8" s="177"/>
    </row>
    <row r="9" spans="1:38" ht="55.5" customHeight="1" x14ac:dyDescent="0.25">
      <c r="A9" s="458"/>
      <c r="B9" s="172" t="s">
        <v>124</v>
      </c>
      <c r="C9" s="186" t="str">
        <f>+'MAPA CALOR INHERENTE'!I8</f>
        <v xml:space="preserve">                        </v>
      </c>
      <c r="D9" s="186" t="str">
        <f>+'MAPA CALOR INHERENTE'!J8</f>
        <v xml:space="preserve">                        </v>
      </c>
      <c r="E9" s="182" t="str">
        <f>+'MAPA CALOR INHERENTE'!K8</f>
        <v xml:space="preserve">GF16         GF26            GF28   </v>
      </c>
      <c r="F9" s="182" t="str">
        <f>+'MAPA CALOR INHERENTE'!L8</f>
        <v xml:space="preserve"> GF17  GF30   GF19     GF28         GF27    </v>
      </c>
      <c r="G9" s="183" t="str">
        <f>+'MAPA CALOR INHERENTE'!M8</f>
        <v xml:space="preserve">  GF18                      </v>
      </c>
      <c r="H9" s="181"/>
      <c r="I9" s="458"/>
      <c r="J9" s="172" t="s">
        <v>124</v>
      </c>
      <c r="K9" s="186" t="str">
        <f>+'MAPA CALOR RESIDUAL'!K8</f>
        <v xml:space="preserve">                        </v>
      </c>
      <c r="L9" s="186" t="str">
        <f>+'MAPA CALOR RESIDUAL'!L8</f>
        <v xml:space="preserve">                        </v>
      </c>
      <c r="M9" s="182" t="str">
        <f>'MAPA CALOR RESIDUAL'!M8</f>
        <v xml:space="preserve">                        </v>
      </c>
      <c r="N9" s="182" t="str">
        <f>+'MAPA CALOR RESIDUAL'!N8</f>
        <v xml:space="preserve">                        </v>
      </c>
      <c r="O9" s="183" t="str">
        <f>+'MAPA CALOR RESIDUAL'!O8</f>
        <v xml:space="preserve">                        </v>
      </c>
      <c r="P9" s="181"/>
      <c r="Q9" s="469"/>
      <c r="R9" s="184">
        <v>0.8</v>
      </c>
      <c r="S9" s="175" t="s">
        <v>124</v>
      </c>
      <c r="T9" s="186" t="s">
        <v>125</v>
      </c>
      <c r="U9" s="186" t="s">
        <v>125</v>
      </c>
      <c r="V9" s="182" t="s">
        <v>482</v>
      </c>
      <c r="W9" s="182" t="s">
        <v>482</v>
      </c>
      <c r="X9" s="183" t="s">
        <v>481</v>
      </c>
      <c r="AA9" s="166"/>
      <c r="AB9" s="166"/>
      <c r="AC9" s="177"/>
      <c r="AD9" s="187"/>
      <c r="AE9" s="188"/>
      <c r="AF9" s="185"/>
      <c r="AG9" s="185"/>
      <c r="AH9" s="185"/>
      <c r="AI9" s="185"/>
      <c r="AJ9" s="185"/>
      <c r="AK9" s="177"/>
      <c r="AL9" s="177"/>
    </row>
    <row r="10" spans="1:38" ht="55.5" customHeight="1" x14ac:dyDescent="0.25">
      <c r="A10" s="458"/>
      <c r="B10" s="172" t="s">
        <v>206</v>
      </c>
      <c r="C10" s="186" t="str">
        <f>+'MAPA CALOR INHERENTE'!I9</f>
        <v xml:space="preserve">                        </v>
      </c>
      <c r="D10" s="186" t="str">
        <f>+'MAPA CALOR INHERENTE'!J9</f>
        <v xml:space="preserve">                        </v>
      </c>
      <c r="E10" s="186" t="str">
        <f>+'MAPA CALOR INHERENTE'!K9</f>
        <v xml:space="preserve">       GF33      GF32 GF34 GF22    GF26   GF29 GF30 GF31</v>
      </c>
      <c r="F10" s="182" t="str">
        <f>+'MAPA CALOR INHERENTE'!L9</f>
        <v xml:space="preserve">    GF31        GF29     GF24       </v>
      </c>
      <c r="G10" s="183" t="str">
        <f>+'MAPA CALOR INHERENTE'!M9</f>
        <v xml:space="preserve">     GF32           GF23        </v>
      </c>
      <c r="H10" s="181"/>
      <c r="I10" s="458"/>
      <c r="J10" s="172" t="s">
        <v>206</v>
      </c>
      <c r="K10" s="186" t="str">
        <f>+'MAPA CALOR RESIDUAL'!K9</f>
        <v xml:space="preserve">                        </v>
      </c>
      <c r="L10" s="186" t="str">
        <f>+'MAPA CALOR RESIDUAL'!L9</f>
        <v xml:space="preserve">                        </v>
      </c>
      <c r="M10" s="186" t="str">
        <f>+'MAPA CALOR RESIDUAL'!M9</f>
        <v xml:space="preserve">     GF32         GF34        GF29 GF30 </v>
      </c>
      <c r="N10" s="182" t="str">
        <f>+'MAPA CALOR RESIDUAL'!N9</f>
        <v xml:space="preserve">                        </v>
      </c>
      <c r="O10" s="183" t="str">
        <f>+'MAPA CALOR RESIDUAL'!O9</f>
        <v xml:space="preserve">                        </v>
      </c>
      <c r="P10" s="181"/>
      <c r="Q10" s="469"/>
      <c r="R10" s="184">
        <v>0.6</v>
      </c>
      <c r="S10" s="175" t="s">
        <v>206</v>
      </c>
      <c r="T10" s="186" t="s">
        <v>125</v>
      </c>
      <c r="U10" s="186" t="s">
        <v>125</v>
      </c>
      <c r="V10" s="186" t="s">
        <v>125</v>
      </c>
      <c r="W10" s="182" t="s">
        <v>482</v>
      </c>
      <c r="X10" s="183" t="s">
        <v>481</v>
      </c>
      <c r="AA10" s="166"/>
      <c r="AB10" s="166"/>
      <c r="AC10" s="177"/>
      <c r="AD10" s="187"/>
      <c r="AE10" s="188"/>
      <c r="AF10" s="185"/>
      <c r="AG10" s="185"/>
      <c r="AH10" s="185"/>
      <c r="AI10" s="185"/>
      <c r="AJ10" s="189"/>
      <c r="AK10" s="177"/>
      <c r="AL10" s="177"/>
    </row>
    <row r="11" spans="1:38" ht="85.2" customHeight="1" x14ac:dyDescent="0.25">
      <c r="A11" s="458"/>
      <c r="B11" s="172" t="s">
        <v>332</v>
      </c>
      <c r="C11" s="190" t="s">
        <v>723</v>
      </c>
      <c r="D11" s="186" t="str">
        <f>+'MAPA CALOR INHERENTE'!J10</f>
        <v xml:space="preserve">                        </v>
      </c>
      <c r="E11" s="186" t="str">
        <f>+'MAPA CALOR INHERENTE'!K10</f>
        <v xml:space="preserve">                  GF25      </v>
      </c>
      <c r="F11" s="182" t="str">
        <f>+'MAPA CALOR INHERENTE'!L10</f>
        <v xml:space="preserve">          GF27              </v>
      </c>
      <c r="G11" s="183" t="str">
        <f>+'MAPA CALOR INHERENTE'!M10</f>
        <v xml:space="preserve">                        </v>
      </c>
      <c r="H11" s="181"/>
      <c r="I11" s="458"/>
      <c r="J11" s="172" t="s">
        <v>332</v>
      </c>
      <c r="K11" s="190" t="str">
        <f>+'MAPA CALOR RESIDUAL'!K10</f>
        <v xml:space="preserve">                        </v>
      </c>
      <c r="L11" s="186" t="str">
        <f>+'MAPA CALOR RESIDUAL'!L10</f>
        <v xml:space="preserve">                        </v>
      </c>
      <c r="M11" s="186" t="str">
        <f>+'MAPA CALOR RESIDUAL'!M10</f>
        <v>GF16 GF17  GF30 GF31     GF26  GF28  GF32     GF25   GF28   GF31</v>
      </c>
      <c r="N11" s="182" t="str">
        <f>'MAPA CALOR RESIDUAL'!N10</f>
        <v xml:space="preserve">                 GF24   GF27    </v>
      </c>
      <c r="O11" s="183" t="str">
        <f>+'MAPA CALOR RESIDUAL'!O10</f>
        <v xml:space="preserve">                        </v>
      </c>
      <c r="P11" s="181"/>
      <c r="Q11" s="469"/>
      <c r="R11" s="184">
        <v>0.4</v>
      </c>
      <c r="S11" s="175" t="s">
        <v>332</v>
      </c>
      <c r="T11" s="190" t="s">
        <v>483</v>
      </c>
      <c r="U11" s="186" t="s">
        <v>125</v>
      </c>
      <c r="V11" s="186" t="s">
        <v>125</v>
      </c>
      <c r="W11" s="182" t="s">
        <v>482</v>
      </c>
      <c r="X11" s="183" t="s">
        <v>481</v>
      </c>
      <c r="AA11" s="166"/>
      <c r="AB11" s="166"/>
      <c r="AC11" s="177"/>
      <c r="AD11" s="187"/>
      <c r="AE11" s="188"/>
      <c r="AF11" s="185"/>
      <c r="AG11" s="185"/>
      <c r="AH11" s="185"/>
      <c r="AI11" s="189"/>
      <c r="AJ11" s="185"/>
      <c r="AK11" s="177"/>
      <c r="AL11" s="177"/>
    </row>
    <row r="12" spans="1:38" ht="55.5" customHeight="1" thickBot="1" x14ac:dyDescent="0.3">
      <c r="A12" s="459"/>
      <c r="B12" s="191" t="s">
        <v>486</v>
      </c>
      <c r="C12" s="192" t="str">
        <f>+'MAPA CALOR INHERENTE'!I11</f>
        <v xml:space="preserve">                        </v>
      </c>
      <c r="D12" s="192" t="str">
        <f>+'MAPA CALOR INHERENTE'!J11</f>
        <v xml:space="preserve">                        </v>
      </c>
      <c r="E12" s="193" t="str">
        <f>+'MAPA CALOR INHERENTE'!K11</f>
        <v xml:space="preserve">                        </v>
      </c>
      <c r="F12" s="194" t="str">
        <f>+'MAPA CALOR INHERENTE'!L11</f>
        <v xml:space="preserve">                        </v>
      </c>
      <c r="G12" s="195" t="str">
        <f>+'MAPA CALOR INHERENTE'!M11</f>
        <v xml:space="preserve">                        </v>
      </c>
      <c r="H12" s="181"/>
      <c r="I12" s="459"/>
      <c r="J12" s="191" t="s">
        <v>486</v>
      </c>
      <c r="K12" s="192" t="str">
        <f>+'MAPA CALOR RESIDUAL'!K11</f>
        <v xml:space="preserve">                        </v>
      </c>
      <c r="L12" s="192" t="str">
        <f>+'MAPA CALOR RESIDUAL'!L11</f>
        <v xml:space="preserve">                        </v>
      </c>
      <c r="M12" s="193" t="str">
        <f>+'MAPA CALOR RESIDUAL'!M11</f>
        <v xml:space="preserve">      GF19 GF33 GF20  GF27  GF29   GF22    GF26     </v>
      </c>
      <c r="N12" s="194" t="str">
        <f>+'MAPA CALOR RESIDUAL'!N11</f>
        <v xml:space="preserve">  GF18              GF23        </v>
      </c>
      <c r="O12" s="195" t="str">
        <f>+'MAPA CALOR RESIDUAL'!O11</f>
        <v xml:space="preserve">                        </v>
      </c>
      <c r="P12" s="181"/>
      <c r="Q12" s="469"/>
      <c r="R12" s="196">
        <v>0.2</v>
      </c>
      <c r="S12" s="197" t="s">
        <v>486</v>
      </c>
      <c r="T12" s="192" t="s">
        <v>483</v>
      </c>
      <c r="U12" s="192" t="s">
        <v>483</v>
      </c>
      <c r="V12" s="193" t="s">
        <v>125</v>
      </c>
      <c r="W12" s="194" t="s">
        <v>482</v>
      </c>
      <c r="X12" s="195" t="s">
        <v>481</v>
      </c>
      <c r="AA12" s="166"/>
      <c r="AB12" s="166"/>
      <c r="AC12" s="177"/>
      <c r="AD12" s="187"/>
      <c r="AE12" s="188"/>
      <c r="AF12" s="185"/>
      <c r="AG12" s="185"/>
      <c r="AH12" s="185"/>
      <c r="AI12" s="198"/>
      <c r="AJ12" s="185"/>
      <c r="AK12" s="177"/>
      <c r="AL12" s="177"/>
    </row>
    <row r="13" spans="1:38" ht="13.2" x14ac:dyDescent="0.25">
      <c r="A13" s="167"/>
      <c r="B13" s="181"/>
      <c r="C13" s="215"/>
      <c r="D13" s="216"/>
      <c r="E13" s="217"/>
      <c r="F13" s="217"/>
      <c r="G13" s="181"/>
      <c r="H13" s="181"/>
      <c r="I13" s="181"/>
      <c r="J13" s="181"/>
      <c r="K13" s="181"/>
      <c r="L13" s="181"/>
      <c r="M13" s="181"/>
      <c r="N13" s="181"/>
      <c r="O13" s="181"/>
      <c r="P13" s="181"/>
      <c r="AA13" s="166"/>
      <c r="AB13" s="166"/>
      <c r="AC13" s="177"/>
      <c r="AD13" s="187"/>
      <c r="AE13" s="188"/>
      <c r="AF13" s="185"/>
      <c r="AG13" s="185"/>
      <c r="AH13" s="185"/>
      <c r="AI13" s="185"/>
      <c r="AJ13" s="185"/>
      <c r="AK13" s="177"/>
      <c r="AL13" s="177"/>
    </row>
    <row r="14" spans="1:38" ht="26.4" x14ac:dyDescent="0.25">
      <c r="A14" s="167"/>
      <c r="B14" s="181"/>
      <c r="C14" s="215"/>
      <c r="D14" s="216"/>
      <c r="E14" s="217"/>
      <c r="F14" s="217"/>
      <c r="G14" s="181"/>
      <c r="H14" s="181"/>
      <c r="I14" s="181"/>
      <c r="J14" s="181"/>
      <c r="K14" s="181"/>
      <c r="L14" s="181"/>
      <c r="M14" s="181"/>
      <c r="N14" s="181"/>
      <c r="O14" s="181"/>
      <c r="P14" s="181"/>
      <c r="T14" s="158" t="s">
        <v>716</v>
      </c>
      <c r="V14" s="166"/>
      <c r="W14" s="166"/>
      <c r="X14" s="166"/>
      <c r="Y14" s="166"/>
      <c r="Z14" s="166"/>
      <c r="AA14" s="166"/>
      <c r="AB14" s="166"/>
      <c r="AC14" s="177"/>
      <c r="AD14" s="187"/>
      <c r="AE14" s="177"/>
      <c r="AF14" s="188"/>
      <c r="AG14" s="188"/>
      <c r="AH14" s="188"/>
      <c r="AI14" s="188"/>
      <c r="AJ14" s="188"/>
      <c r="AK14" s="177"/>
      <c r="AL14" s="177"/>
    </row>
    <row r="15" spans="1:38" ht="13.2" x14ac:dyDescent="0.25">
      <c r="A15" s="167"/>
      <c r="B15" s="181"/>
      <c r="C15" s="215"/>
      <c r="D15" s="216"/>
      <c r="E15" s="217"/>
      <c r="F15" s="217"/>
      <c r="G15" s="181"/>
      <c r="H15" s="181"/>
      <c r="I15" s="181"/>
      <c r="J15" s="181"/>
      <c r="K15" s="181"/>
      <c r="L15" s="181"/>
      <c r="M15" s="181"/>
      <c r="N15" s="181"/>
      <c r="O15" s="181"/>
      <c r="P15" s="181"/>
      <c r="T15" s="199" t="s">
        <v>481</v>
      </c>
      <c r="V15" s="166"/>
      <c r="W15" s="166"/>
      <c r="X15" s="166"/>
      <c r="Y15" s="166"/>
      <c r="Z15" s="166"/>
      <c r="AA15" s="166"/>
      <c r="AB15" s="166"/>
      <c r="AC15" s="177"/>
      <c r="AD15" s="177"/>
      <c r="AE15" s="177"/>
      <c r="AF15" s="185"/>
      <c r="AG15" s="185"/>
      <c r="AH15" s="185"/>
      <c r="AI15" s="185"/>
      <c r="AJ15" s="185"/>
      <c r="AK15" s="177"/>
      <c r="AL15" s="177"/>
    </row>
    <row r="16" spans="1:38" ht="13.2" x14ac:dyDescent="0.25">
      <c r="A16" s="167"/>
      <c r="B16" s="181"/>
      <c r="C16" s="215"/>
      <c r="D16" s="216"/>
      <c r="E16" s="217"/>
      <c r="F16" s="217"/>
      <c r="G16" s="181"/>
      <c r="H16" s="181"/>
      <c r="I16" s="181"/>
      <c r="J16" s="181"/>
      <c r="K16" s="181"/>
      <c r="L16" s="181"/>
      <c r="M16" s="181"/>
      <c r="N16" s="181"/>
      <c r="O16" s="181"/>
      <c r="P16" s="181"/>
      <c r="T16" s="182" t="s">
        <v>482</v>
      </c>
      <c r="U16" s="166"/>
      <c r="V16" s="166"/>
      <c r="W16" s="166"/>
      <c r="X16" s="166"/>
      <c r="Y16" s="166"/>
      <c r="Z16" s="166"/>
      <c r="AA16" s="166"/>
      <c r="AB16" s="166"/>
      <c r="AC16" s="177"/>
      <c r="AD16" s="177"/>
      <c r="AE16" s="177"/>
      <c r="AF16" s="185"/>
      <c r="AG16" s="185"/>
      <c r="AH16" s="185"/>
      <c r="AI16" s="185"/>
      <c r="AJ16" s="185"/>
      <c r="AK16" s="177"/>
      <c r="AL16" s="177"/>
    </row>
    <row r="17" spans="1:38" ht="13.2" x14ac:dyDescent="0.25">
      <c r="A17" s="167"/>
      <c r="B17" s="181"/>
      <c r="C17" s="215"/>
      <c r="D17" s="216"/>
      <c r="E17" s="217"/>
      <c r="F17" s="217"/>
      <c r="G17" s="181"/>
      <c r="H17" s="181"/>
      <c r="I17" s="181"/>
      <c r="J17" s="181"/>
      <c r="K17" s="181"/>
      <c r="L17" s="181"/>
      <c r="M17" s="181"/>
      <c r="N17" s="181"/>
      <c r="O17" s="181"/>
      <c r="P17" s="181"/>
      <c r="S17" s="200"/>
      <c r="T17" s="186" t="s">
        <v>125</v>
      </c>
      <c r="U17" s="200"/>
      <c r="V17" s="200"/>
      <c r="W17" s="200"/>
      <c r="X17" s="200"/>
      <c r="Y17" s="200"/>
      <c r="Z17" s="200"/>
      <c r="AA17" s="200"/>
      <c r="AB17" s="200"/>
      <c r="AC17" s="177"/>
      <c r="AD17" s="177"/>
      <c r="AE17" s="201"/>
      <c r="AF17" s="201"/>
      <c r="AG17" s="201"/>
      <c r="AH17" s="201"/>
      <c r="AI17" s="201"/>
      <c r="AJ17" s="201"/>
      <c r="AK17" s="177"/>
      <c r="AL17" s="177"/>
    </row>
    <row r="18" spans="1:38" ht="13.2" x14ac:dyDescent="0.25">
      <c r="A18" s="167"/>
      <c r="B18" s="181"/>
      <c r="C18" s="215"/>
      <c r="D18" s="216"/>
      <c r="E18" s="217"/>
      <c r="F18" s="217"/>
      <c r="G18" s="181"/>
      <c r="H18" s="181"/>
      <c r="I18" s="181"/>
      <c r="J18" s="181"/>
      <c r="K18" s="181"/>
      <c r="L18" s="181"/>
      <c r="M18" s="181"/>
      <c r="N18" s="181"/>
      <c r="O18" s="181"/>
      <c r="P18" s="181"/>
      <c r="S18" s="200"/>
      <c r="T18" s="190" t="s">
        <v>483</v>
      </c>
      <c r="AA18" s="200"/>
      <c r="AB18" s="200"/>
      <c r="AC18" s="177"/>
      <c r="AD18" s="177"/>
      <c r="AE18" s="177"/>
      <c r="AF18" s="185"/>
      <c r="AG18" s="185"/>
      <c r="AH18" s="185"/>
      <c r="AI18" s="185"/>
      <c r="AJ18" s="185"/>
      <c r="AK18" s="177"/>
      <c r="AL18" s="177"/>
    </row>
    <row r="19" spans="1:38" ht="13.2" x14ac:dyDescent="0.25">
      <c r="A19" s="167"/>
      <c r="B19" s="181"/>
      <c r="C19" s="215"/>
      <c r="D19" s="216"/>
      <c r="E19" s="217"/>
      <c r="F19" s="217"/>
      <c r="G19" s="181"/>
      <c r="H19" s="181"/>
      <c r="I19" s="181"/>
      <c r="J19" s="181"/>
      <c r="K19" s="181"/>
      <c r="L19" s="181"/>
      <c r="M19" s="181"/>
      <c r="N19" s="181"/>
      <c r="O19" s="181"/>
      <c r="P19" s="181"/>
      <c r="Q19" s="202"/>
      <c r="R19" s="202"/>
      <c r="S19" s="200"/>
      <c r="AA19" s="200"/>
      <c r="AB19" s="200"/>
      <c r="AC19" s="177"/>
      <c r="AD19" s="177"/>
      <c r="AE19" s="177"/>
      <c r="AF19" s="185"/>
      <c r="AG19" s="185"/>
      <c r="AH19" s="185"/>
      <c r="AI19" s="185"/>
      <c r="AJ19" s="185"/>
      <c r="AK19" s="177"/>
      <c r="AL19" s="177"/>
    </row>
    <row r="20" spans="1:38" ht="13.2" x14ac:dyDescent="0.25">
      <c r="A20" s="167"/>
      <c r="B20" s="181"/>
      <c r="C20" s="215"/>
      <c r="D20" s="216"/>
      <c r="E20" s="217"/>
      <c r="F20" s="217"/>
      <c r="G20" s="181"/>
      <c r="H20" s="181"/>
      <c r="I20" s="181"/>
      <c r="J20" s="181"/>
      <c r="K20" s="181"/>
      <c r="L20" s="181"/>
      <c r="M20" s="181"/>
      <c r="N20" s="181"/>
      <c r="O20" s="181"/>
      <c r="P20" s="181"/>
      <c r="Q20" s="202"/>
      <c r="R20" s="202"/>
      <c r="S20" s="203"/>
      <c r="AA20" s="200"/>
      <c r="AB20" s="200"/>
      <c r="AC20" s="177"/>
      <c r="AD20" s="198"/>
      <c r="AE20" s="198"/>
      <c r="AF20" s="198"/>
      <c r="AG20" s="198"/>
      <c r="AH20" s="198"/>
      <c r="AI20" s="198"/>
      <c r="AJ20" s="185"/>
      <c r="AK20" s="177"/>
      <c r="AL20" s="177"/>
    </row>
    <row r="21" spans="1:38" ht="13.2" x14ac:dyDescent="0.25">
      <c r="A21" s="167"/>
      <c r="B21" s="181"/>
      <c r="C21" s="215"/>
      <c r="D21" s="216"/>
      <c r="E21" s="217"/>
      <c r="F21" s="217"/>
      <c r="G21" s="181"/>
      <c r="H21" s="181"/>
      <c r="I21" s="181"/>
      <c r="J21" s="181"/>
      <c r="K21" s="181"/>
      <c r="L21" s="181"/>
      <c r="M21" s="181"/>
      <c r="N21" s="181"/>
      <c r="O21" s="181"/>
      <c r="P21" s="181"/>
      <c r="Q21" s="202"/>
      <c r="R21" s="202"/>
      <c r="AC21" s="177"/>
      <c r="AD21" s="204"/>
      <c r="AE21" s="204"/>
      <c r="AF21" s="204"/>
      <c r="AG21" s="204"/>
      <c r="AH21" s="204"/>
      <c r="AI21" s="204"/>
      <c r="AJ21" s="185"/>
      <c r="AK21" s="177"/>
      <c r="AL21" s="177"/>
    </row>
    <row r="22" spans="1:38" ht="13.2" x14ac:dyDescent="0.25">
      <c r="A22" s="167"/>
      <c r="B22" s="181"/>
      <c r="C22" s="215"/>
      <c r="D22" s="216"/>
      <c r="E22" s="217"/>
      <c r="F22" s="217"/>
      <c r="G22" s="181"/>
      <c r="H22" s="181"/>
      <c r="I22" s="181"/>
      <c r="J22" s="181"/>
      <c r="K22" s="181"/>
      <c r="L22" s="181"/>
      <c r="M22" s="181"/>
      <c r="N22" s="181"/>
      <c r="O22" s="181"/>
      <c r="P22" s="181"/>
      <c r="Q22" s="202"/>
      <c r="R22" s="202"/>
      <c r="AC22" s="177"/>
      <c r="AD22" s="198"/>
      <c r="AE22" s="198"/>
      <c r="AF22" s="198"/>
      <c r="AG22" s="198"/>
      <c r="AH22" s="198"/>
      <c r="AI22" s="198"/>
      <c r="AJ22" s="185"/>
      <c r="AK22" s="177"/>
      <c r="AL22" s="177"/>
    </row>
    <row r="23" spans="1:38" ht="13.2" x14ac:dyDescent="0.25">
      <c r="A23" s="167"/>
      <c r="B23" s="181"/>
      <c r="C23" s="215"/>
      <c r="D23" s="216"/>
      <c r="E23" s="217"/>
      <c r="F23" s="217"/>
      <c r="G23" s="181"/>
      <c r="H23" s="181"/>
      <c r="I23" s="181"/>
      <c r="J23" s="181"/>
      <c r="K23" s="181"/>
      <c r="L23" s="181"/>
      <c r="M23" s="181"/>
      <c r="N23" s="181"/>
      <c r="O23" s="181"/>
      <c r="P23" s="181"/>
      <c r="AC23" s="177"/>
      <c r="AD23" s="198"/>
      <c r="AE23" s="198"/>
      <c r="AF23" s="198"/>
      <c r="AG23" s="198"/>
      <c r="AH23" s="198"/>
      <c r="AI23" s="198"/>
      <c r="AJ23" s="185"/>
      <c r="AK23" s="177"/>
      <c r="AL23" s="177"/>
    </row>
    <row r="24" spans="1:38" ht="13.2" x14ac:dyDescent="0.3">
      <c r="A24" s="167"/>
      <c r="B24" s="181"/>
      <c r="C24" s="215"/>
      <c r="D24" s="216"/>
      <c r="E24" s="217"/>
      <c r="F24" s="217"/>
      <c r="G24" s="181"/>
      <c r="H24" s="181"/>
      <c r="I24" s="181"/>
      <c r="J24" s="181"/>
      <c r="K24" s="181"/>
      <c r="L24" s="181"/>
      <c r="M24" s="181"/>
      <c r="N24" s="181"/>
      <c r="O24" s="181"/>
      <c r="P24" s="181"/>
    </row>
    <row r="25" spans="1:38" ht="13.2" x14ac:dyDescent="0.3">
      <c r="A25" s="167"/>
      <c r="B25" s="181"/>
      <c r="C25" s="215"/>
      <c r="D25" s="216"/>
      <c r="E25" s="217"/>
      <c r="F25" s="217"/>
      <c r="G25" s="181"/>
      <c r="H25" s="181"/>
      <c r="I25" s="181"/>
      <c r="J25" s="181"/>
      <c r="K25" s="181"/>
      <c r="L25" s="181"/>
      <c r="M25" s="181"/>
      <c r="N25" s="181"/>
      <c r="O25" s="181"/>
      <c r="P25" s="181"/>
    </row>
    <row r="26" spans="1:38" ht="13.2" x14ac:dyDescent="0.3">
      <c r="A26" s="167"/>
      <c r="B26" s="181"/>
      <c r="C26" s="215"/>
      <c r="D26" s="216"/>
      <c r="E26" s="217"/>
      <c r="F26" s="217"/>
      <c r="G26" s="181"/>
      <c r="H26" s="181"/>
      <c r="I26" s="181"/>
      <c r="J26" s="181"/>
      <c r="K26" s="181"/>
      <c r="L26" s="181"/>
      <c r="M26" s="181"/>
      <c r="N26" s="181"/>
      <c r="O26" s="181"/>
      <c r="P26" s="181"/>
    </row>
    <row r="27" spans="1:38" ht="13.2" x14ac:dyDescent="0.3">
      <c r="A27" s="167"/>
      <c r="B27" s="181"/>
      <c r="C27" s="215"/>
      <c r="D27" s="216"/>
      <c r="E27" s="217"/>
      <c r="F27" s="217"/>
      <c r="G27" s="181"/>
      <c r="H27" s="181"/>
      <c r="I27" s="181"/>
      <c r="J27" s="181"/>
      <c r="K27" s="181"/>
      <c r="L27" s="181"/>
      <c r="M27" s="181"/>
      <c r="N27" s="181"/>
      <c r="O27" s="181"/>
      <c r="P27" s="181"/>
    </row>
    <row r="28" spans="1:38" ht="14.55" customHeight="1" x14ac:dyDescent="0.3">
      <c r="B28" s="163"/>
      <c r="D28" s="163"/>
      <c r="G28" s="163"/>
      <c r="H28" s="163"/>
      <c r="I28" s="163"/>
      <c r="J28" s="163"/>
      <c r="K28" s="163"/>
      <c r="L28" s="163"/>
      <c r="M28" s="163"/>
      <c r="N28" s="163"/>
      <c r="O28" s="163"/>
      <c r="P28" s="163"/>
      <c r="AA28" s="167"/>
      <c r="AB28" s="167"/>
      <c r="AC28" s="167"/>
      <c r="AD28" s="167"/>
      <c r="AE28" s="167"/>
      <c r="AF28" s="163"/>
      <c r="AG28" s="163"/>
      <c r="AH28" s="163"/>
      <c r="AI28" s="163"/>
      <c r="AJ28" s="163"/>
    </row>
    <row r="29" spans="1:38" ht="39" customHeight="1" x14ac:dyDescent="0.3">
      <c r="B29" s="163"/>
      <c r="D29" s="163"/>
      <c r="G29" s="163"/>
      <c r="H29" s="163"/>
      <c r="I29" s="163"/>
      <c r="J29" s="163"/>
      <c r="K29" s="163"/>
      <c r="L29" s="163"/>
      <c r="M29" s="163"/>
      <c r="N29" s="163"/>
      <c r="O29" s="163"/>
      <c r="P29" s="163"/>
      <c r="AA29" s="167"/>
      <c r="AB29" s="167"/>
      <c r="AC29" s="167"/>
      <c r="AD29" s="167"/>
      <c r="AE29" s="167"/>
      <c r="AF29" s="163"/>
      <c r="AG29" s="163"/>
      <c r="AH29" s="163"/>
      <c r="AI29" s="163"/>
      <c r="AJ29" s="163"/>
    </row>
    <row r="30" spans="1:38" ht="19.5" customHeight="1" x14ac:dyDescent="0.3">
      <c r="B30" s="163"/>
      <c r="D30" s="163"/>
      <c r="G30" s="163"/>
      <c r="H30" s="163"/>
      <c r="I30" s="163"/>
      <c r="J30" s="163"/>
      <c r="K30" s="163"/>
      <c r="L30" s="163"/>
      <c r="M30" s="163"/>
      <c r="N30" s="163"/>
      <c r="O30" s="163"/>
      <c r="P30" s="163"/>
      <c r="AA30" s="167"/>
      <c r="AB30" s="167"/>
      <c r="AC30" s="167"/>
      <c r="AD30" s="167"/>
      <c r="AE30" s="167"/>
      <c r="AF30" s="163"/>
      <c r="AG30" s="163"/>
      <c r="AH30" s="163"/>
      <c r="AI30" s="163"/>
      <c r="AJ30" s="163"/>
    </row>
    <row r="31" spans="1:38" ht="19.5" customHeight="1" x14ac:dyDescent="0.3">
      <c r="B31" s="163"/>
      <c r="D31" s="163"/>
      <c r="G31" s="163"/>
      <c r="H31" s="163"/>
      <c r="I31" s="163"/>
      <c r="J31" s="163"/>
      <c r="K31" s="163"/>
      <c r="L31" s="163"/>
      <c r="M31" s="163"/>
      <c r="N31" s="163"/>
      <c r="O31" s="163"/>
      <c r="P31" s="163"/>
      <c r="AA31" s="167"/>
      <c r="AB31" s="167"/>
      <c r="AC31" s="167"/>
      <c r="AD31" s="167"/>
      <c r="AE31" s="167"/>
      <c r="AF31" s="163"/>
      <c r="AG31" s="163"/>
      <c r="AH31" s="163"/>
      <c r="AI31" s="163"/>
      <c r="AJ31" s="163"/>
    </row>
    <row r="32" spans="1:38" ht="19.5" customHeight="1" x14ac:dyDescent="0.3">
      <c r="B32" s="163"/>
      <c r="D32" s="163"/>
      <c r="G32" s="163"/>
      <c r="H32" s="163"/>
      <c r="I32" s="163"/>
      <c r="J32" s="163"/>
      <c r="K32" s="163"/>
      <c r="L32" s="163"/>
      <c r="M32" s="163"/>
      <c r="N32" s="163"/>
      <c r="O32" s="163"/>
      <c r="P32" s="163"/>
      <c r="AA32" s="167"/>
      <c r="AB32" s="167"/>
      <c r="AC32" s="167"/>
      <c r="AD32" s="167"/>
      <c r="AE32" s="167"/>
      <c r="AF32" s="163"/>
      <c r="AG32" s="163"/>
      <c r="AH32" s="163"/>
      <c r="AI32" s="163"/>
      <c r="AJ32" s="163"/>
    </row>
    <row r="33" spans="2:36" ht="19.5" customHeight="1" x14ac:dyDescent="0.3">
      <c r="B33" s="163"/>
      <c r="D33" s="163"/>
      <c r="G33" s="163"/>
      <c r="H33" s="163"/>
      <c r="I33" s="163"/>
      <c r="J33" s="163"/>
      <c r="K33" s="163"/>
      <c r="L33" s="163"/>
      <c r="M33" s="163"/>
      <c r="N33" s="163"/>
      <c r="O33" s="163"/>
      <c r="P33" s="163"/>
      <c r="AA33" s="167"/>
      <c r="AB33" s="167"/>
      <c r="AC33" s="167"/>
      <c r="AD33" s="167"/>
      <c r="AE33" s="167"/>
      <c r="AF33" s="163"/>
      <c r="AG33" s="163"/>
      <c r="AH33" s="163"/>
      <c r="AI33" s="163"/>
      <c r="AJ33" s="163"/>
    </row>
    <row r="34" spans="2:36" ht="19.5" customHeight="1" x14ac:dyDescent="0.3">
      <c r="B34" s="163"/>
      <c r="D34" s="163"/>
      <c r="G34" s="163"/>
      <c r="H34" s="163"/>
      <c r="I34" s="163"/>
      <c r="J34" s="163"/>
      <c r="K34" s="163"/>
      <c r="L34" s="163"/>
      <c r="M34" s="163"/>
      <c r="N34" s="163"/>
      <c r="O34" s="163"/>
      <c r="P34" s="163"/>
      <c r="AA34" s="167"/>
      <c r="AB34" s="167"/>
      <c r="AC34" s="167"/>
      <c r="AD34" s="167"/>
      <c r="AE34" s="167"/>
      <c r="AF34" s="163"/>
      <c r="AG34" s="163"/>
      <c r="AH34" s="163"/>
      <c r="AI34" s="163"/>
      <c r="AJ34" s="163"/>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link="1"/>
  <mergeCells count="10">
    <mergeCell ref="A2:D2"/>
    <mergeCell ref="B3:D3"/>
    <mergeCell ref="A5:G5"/>
    <mergeCell ref="I5:O5"/>
    <mergeCell ref="T5:X5"/>
    <mergeCell ref="C6:G6"/>
    <mergeCell ref="K6:O6"/>
    <mergeCell ref="A8:A12"/>
    <mergeCell ref="I8:I12"/>
    <mergeCell ref="Q8:Q12"/>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6F1F7268-FD86-40B5-BD9A-DE9CCB74AB92}"/>
    <dataValidation allowBlank="1" showInputMessage="1" showErrorMessage="1" prompt="La probabilidad se encuentra determinada por una escala de 1 a 3, siendo 1 la menor probabilidad de ocurrencia del riesgo y 3 la mayor probabilidad de  ocurrencia." sqref="JC7" xr:uid="{1A91DD5A-671F-4BB0-AB80-FD4601FABDBC}"/>
    <dataValidation type="list" allowBlank="1" showInputMessage="1" showErrorMessage="1" sqref="JD8:JJ15" xr:uid="{D29E11DD-0721-4DC3-82D4-7AB490F6DE93}">
      <formula1>#REF!</formula1>
    </dataValidation>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57EF7-4500-4202-8AB2-3F145FC20C57}">
  <dimension ref="A1:L26"/>
  <sheetViews>
    <sheetView showGridLines="0" zoomScale="85" zoomScaleNormal="85" workbookViewId="0">
      <selection activeCell="D14" sqref="D14:D16"/>
    </sheetView>
  </sheetViews>
  <sheetFormatPr baseColWidth="10" defaultColWidth="0" defaultRowHeight="14.4" customHeight="1"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38" customFormat="1" ht="8.25" customHeight="1" x14ac:dyDescent="0.25">
      <c r="A1" s="218"/>
      <c r="B1" s="218"/>
      <c r="C1" s="218"/>
      <c r="D1" s="146"/>
      <c r="F1" s="219"/>
    </row>
    <row r="2" spans="1:11" s="222" customFormat="1" ht="38.4" customHeight="1" x14ac:dyDescent="0.3">
      <c r="A2" s="486" t="s">
        <v>724</v>
      </c>
      <c r="B2" s="487"/>
      <c r="C2" s="487"/>
      <c r="D2" s="488"/>
      <c r="E2" s="220"/>
      <c r="F2" s="221"/>
    </row>
    <row r="3" spans="1:11" s="222" customFormat="1" ht="11.4" customHeight="1" x14ac:dyDescent="0.3">
      <c r="A3" s="223"/>
      <c r="B3" s="224"/>
      <c r="C3" s="224"/>
      <c r="D3" s="224"/>
      <c r="E3" s="220"/>
      <c r="F3" s="221"/>
    </row>
    <row r="4" spans="1:11" ht="21.6" customHeight="1" thickBot="1" x14ac:dyDescent="0.35">
      <c r="A4" s="225" t="s">
        <v>70</v>
      </c>
      <c r="B4" s="451" t="str">
        <f>'[1]2. MATRIZ DE RIESGOS'!D6</f>
        <v>Gestión Financiera</v>
      </c>
      <c r="C4" s="473"/>
      <c r="D4" s="473"/>
    </row>
    <row r="5" spans="1:11" ht="15" thickBot="1" x14ac:dyDescent="0.35">
      <c r="A5" s="489" t="s">
        <v>725</v>
      </c>
      <c r="B5" s="490"/>
      <c r="C5" s="490"/>
      <c r="D5" s="490"/>
      <c r="E5" s="490"/>
      <c r="F5" s="490"/>
      <c r="G5" s="490"/>
      <c r="H5" s="490"/>
      <c r="I5" s="490"/>
      <c r="J5" s="490"/>
      <c r="K5" s="491"/>
    </row>
    <row r="6" spans="1:11" ht="6" customHeight="1" thickBot="1" x14ac:dyDescent="0.35">
      <c r="A6" s="489"/>
      <c r="B6" s="490"/>
      <c r="C6" s="490"/>
      <c r="D6" s="490"/>
      <c r="E6" s="490"/>
      <c r="F6" s="490"/>
      <c r="G6" s="490"/>
      <c r="H6" s="490"/>
      <c r="I6" s="490"/>
      <c r="J6" s="490"/>
      <c r="K6" s="491"/>
    </row>
    <row r="7" spans="1:11" ht="34.5" customHeight="1" x14ac:dyDescent="0.3">
      <c r="A7" s="492" t="s">
        <v>726</v>
      </c>
      <c r="B7" s="493"/>
      <c r="C7" s="493"/>
      <c r="D7" s="493"/>
      <c r="E7" s="493"/>
      <c r="F7" s="493"/>
      <c r="G7" s="493"/>
      <c r="H7" s="493"/>
      <c r="I7" s="493"/>
      <c r="J7" s="493"/>
      <c r="K7" s="494"/>
    </row>
    <row r="8" spans="1:11" ht="18.75" customHeight="1" x14ac:dyDescent="0.3">
      <c r="A8" s="495" t="s">
        <v>727</v>
      </c>
      <c r="B8" s="496"/>
      <c r="C8" s="496"/>
      <c r="D8" s="496"/>
      <c r="E8" s="496"/>
      <c r="F8" s="496"/>
      <c r="G8" s="496"/>
      <c r="H8" s="496"/>
      <c r="I8" s="496"/>
      <c r="J8" s="496"/>
      <c r="K8" s="497"/>
    </row>
    <row r="9" spans="1:11" ht="34.5" customHeight="1" x14ac:dyDescent="0.3">
      <c r="A9" s="477" t="s">
        <v>728</v>
      </c>
      <c r="B9" s="478"/>
      <c r="C9" s="478"/>
      <c r="D9" s="478"/>
      <c r="E9" s="478"/>
      <c r="F9" s="478"/>
      <c r="G9" s="478"/>
      <c r="H9" s="478"/>
      <c r="I9" s="478"/>
      <c r="J9" s="478"/>
      <c r="K9" s="479"/>
    </row>
    <row r="10" spans="1:11" ht="50.25" customHeight="1" thickBot="1" x14ac:dyDescent="0.35">
      <c r="A10" s="480" t="s">
        <v>729</v>
      </c>
      <c r="B10" s="481"/>
      <c r="C10" s="481"/>
      <c r="D10" s="481"/>
      <c r="E10" s="481"/>
      <c r="F10" s="481"/>
      <c r="G10" s="481"/>
      <c r="H10" s="481"/>
      <c r="I10" s="481"/>
      <c r="J10" s="481"/>
      <c r="K10" s="482"/>
    </row>
    <row r="11" spans="1:11" x14ac:dyDescent="0.3">
      <c r="A11" s="226"/>
      <c r="B11" s="226"/>
      <c r="C11" s="226"/>
      <c r="D11" s="226"/>
      <c r="E11" s="226"/>
      <c r="F11" s="226"/>
      <c r="G11" s="226"/>
      <c r="H11" s="226"/>
      <c r="I11" s="226"/>
      <c r="J11" s="226"/>
      <c r="K11" s="226"/>
    </row>
    <row r="12" spans="1:11" s="228" customFormat="1" ht="39.6" x14ac:dyDescent="0.3">
      <c r="A12" s="227"/>
      <c r="B12" s="483" t="s">
        <v>730</v>
      </c>
      <c r="C12" s="484"/>
      <c r="D12" s="485" t="s">
        <v>731</v>
      </c>
      <c r="E12" s="485"/>
      <c r="G12" s="158" t="s">
        <v>716</v>
      </c>
    </row>
    <row r="13" spans="1:11" x14ac:dyDescent="0.3">
      <c r="A13" s="229" t="s">
        <v>732</v>
      </c>
      <c r="B13" s="230">
        <f>+COUNTIF('MAPA CALOR INHERENTE'!$E$6:$E$31,'4. PEFIL RIESGO DEL PROCESO'!G13)</f>
        <v>3</v>
      </c>
      <c r="C13" s="231">
        <f>+B13/$B$17</f>
        <v>0.12</v>
      </c>
      <c r="D13" s="230">
        <f>+COUNTIF('MAPA CALOR RESIDUAL'!$G$7:$G$31,'4. PEFIL RIESGO DEL PROCESO'!G13)</f>
        <v>0</v>
      </c>
      <c r="E13" s="231">
        <f>+D13/$D$17</f>
        <v>0</v>
      </c>
      <c r="G13" s="199" t="s">
        <v>481</v>
      </c>
    </row>
    <row r="14" spans="1:11" x14ac:dyDescent="0.3">
      <c r="A14" s="229" t="s">
        <v>733</v>
      </c>
      <c r="B14" s="230">
        <f>+COUNTIF('MAPA CALOR INHERENTE'!$E$6:$E$31,'4. PEFIL RIESGO DEL PROCESO'!G14)</f>
        <v>13</v>
      </c>
      <c r="C14" s="231">
        <f>+B14/$B$17</f>
        <v>0.52</v>
      </c>
      <c r="D14" s="230">
        <f>+COUNTIF('MAPA CALOR RESIDUAL'!$G$7:$G$31,'4. PEFIL RIESGO DEL PROCESO'!G14)</f>
        <v>4</v>
      </c>
      <c r="E14" s="231">
        <f>+D14/$D$17</f>
        <v>0.16</v>
      </c>
      <c r="G14" s="182" t="s">
        <v>482</v>
      </c>
    </row>
    <row r="15" spans="1:11" x14ac:dyDescent="0.3">
      <c r="A15" s="229" t="s">
        <v>734</v>
      </c>
      <c r="B15" s="230">
        <f>+COUNTIF('MAPA CALOR INHERENTE'!$E$6:$E$31,'4. PEFIL RIESGO DEL PROCESO'!G15)</f>
        <v>9</v>
      </c>
      <c r="C15" s="231">
        <f>+B15/$B$17</f>
        <v>0.36</v>
      </c>
      <c r="D15" s="230">
        <f>+COUNTIF('MAPA CALOR RESIDUAL'!$G$7:$G$31,'4. PEFIL RIESGO DEL PROCESO'!G15)</f>
        <v>21</v>
      </c>
      <c r="E15" s="231">
        <f>+D15/$D$17</f>
        <v>0.84</v>
      </c>
      <c r="G15" s="186" t="s">
        <v>125</v>
      </c>
    </row>
    <row r="16" spans="1:11" x14ac:dyDescent="0.3">
      <c r="A16" s="229" t="s">
        <v>735</v>
      </c>
      <c r="B16" s="230">
        <f>+COUNTIF('MAPA CALOR INHERENTE'!$E$6:$E$31,'4. PEFIL RIESGO DEL PROCESO'!G16)</f>
        <v>0</v>
      </c>
      <c r="C16" s="231">
        <f>+B16/$B$17</f>
        <v>0</v>
      </c>
      <c r="D16" s="230">
        <f>+COUNTIF('MAPA CALOR RESIDUAL'!$G$7:$G$31,'4. PEFIL RIESGO DEL PROCESO'!G16)</f>
        <v>0</v>
      </c>
      <c r="E16" s="231">
        <f>+D16/$D$17</f>
        <v>0</v>
      </c>
      <c r="G16" s="190" t="s">
        <v>483</v>
      </c>
    </row>
    <row r="17" spans="1:5" x14ac:dyDescent="0.3">
      <c r="A17" s="229" t="s">
        <v>736</v>
      </c>
      <c r="B17" s="230">
        <f>+SUM(B13:B16)</f>
        <v>25</v>
      </c>
      <c r="C17" s="231">
        <f>+B17/$B$17</f>
        <v>1</v>
      </c>
      <c r="D17" s="230">
        <f>+SUM(D13:D16)</f>
        <v>25</v>
      </c>
      <c r="E17" s="231">
        <f>+D17/$D$17</f>
        <v>1</v>
      </c>
    </row>
    <row r="18" spans="1:5" x14ac:dyDescent="0.3"/>
    <row r="19" spans="1:5" s="232" customFormat="1" x14ac:dyDescent="0.3">
      <c r="B19" s="233" t="s">
        <v>730</v>
      </c>
      <c r="D19" s="233" t="s">
        <v>731</v>
      </c>
    </row>
    <row r="20" spans="1:5" s="232" customFormat="1" ht="41.7" customHeight="1" x14ac:dyDescent="0.3">
      <c r="B20" s="234" t="str">
        <f>+IF((B13/B17)&gt;=0.2,G13,+IF(((B13/B17)+(B14/B17))&gt;=0.3,G14,+IF(((B13/B17)+(B14/B17)+(B15/B17))&gt;=0.4,G15,+IF((B13/B17)+(B14/B17)+(B15/B17)+(B16/B17)&gt;=0.5,G16,""))))</f>
        <v>Alto</v>
      </c>
      <c r="D20" s="234" t="str">
        <f>+IF((D13/D17)&gt;=0.2,G13,+IF(((D13/D17)+(D14/D17))&gt;=0.3,G14,+IF(((D13/D17)+(D14/D17)+(D15/D17))&gt;=0.4,G15,+IF((D13/D17)+(D14/D17)+(D15/D17)+(D16/D17)&gt;=0.5,G16,""))))</f>
        <v>Moderado</v>
      </c>
    </row>
    <row r="21" spans="1:5" x14ac:dyDescent="0.3"/>
    <row r="22" spans="1:5" ht="18" x14ac:dyDescent="0.35">
      <c r="D22" s="235" t="s">
        <v>737</v>
      </c>
      <c r="E22" s="236">
        <f>SUM(D13:D14)</f>
        <v>4</v>
      </c>
    </row>
    <row r="23" spans="1:5" x14ac:dyDescent="0.3">
      <c r="D23" s="237"/>
      <c r="E23" s="238"/>
    </row>
    <row r="24" spans="1:5" x14ac:dyDescent="0.3">
      <c r="D24" s="237"/>
      <c r="E24" s="238"/>
    </row>
    <row r="25" spans="1:5" x14ac:dyDescent="0.3"/>
    <row r="26" spans="1:5"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zoomScalePageLayoutView="80" workbookViewId="0">
      <selection activeCell="C7" sqref="C7"/>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8"/>
      <c r="B1" s="498" t="s">
        <v>484</v>
      </c>
      <c r="C1" s="498"/>
      <c r="D1" s="498"/>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37" t="s">
        <v>485</v>
      </c>
      <c r="D3" s="37" t="s">
        <v>480</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40" t="s">
        <v>486</v>
      </c>
      <c r="C4" s="38" t="s">
        <v>487</v>
      </c>
      <c r="D4" s="39">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41" t="s">
        <v>332</v>
      </c>
      <c r="C5" s="38" t="s">
        <v>488</v>
      </c>
      <c r="D5" s="39">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42" t="s">
        <v>206</v>
      </c>
      <c r="C6" s="38" t="s">
        <v>489</v>
      </c>
      <c r="D6" s="39">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43" t="s">
        <v>124</v>
      </c>
      <c r="C7" s="38" t="s">
        <v>490</v>
      </c>
      <c r="D7" s="39">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44" t="s">
        <v>287</v>
      </c>
      <c r="C8" s="38" t="s">
        <v>491</v>
      </c>
      <c r="D8" s="39">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3"/>
      <c r="C9" s="23"/>
      <c r="D9" s="2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4"/>
      <c r="C10" s="23"/>
      <c r="D10" s="2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3"/>
      <c r="C11" s="23"/>
      <c r="D11" s="2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3"/>
      <c r="C12" s="23"/>
      <c r="D12" s="2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3"/>
      <c r="C13" s="23"/>
      <c r="D13" s="2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3"/>
      <c r="C14" s="23"/>
      <c r="D14" s="2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3"/>
      <c r="C15" s="23"/>
      <c r="D15" s="2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3"/>
      <c r="C16" s="23"/>
      <c r="D16" s="2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3"/>
      <c r="C17" s="23"/>
      <c r="D17" s="2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3"/>
      <c r="C18" s="23"/>
      <c r="D18" s="2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W200"/>
  <sheetViews>
    <sheetView zoomScale="80" zoomScaleNormal="80" zoomScalePageLayoutView="80" workbookViewId="0">
      <selection activeCell="C13" sqref="C13"/>
    </sheetView>
  </sheetViews>
  <sheetFormatPr baseColWidth="10" defaultColWidth="11.44140625" defaultRowHeight="14.4" x14ac:dyDescent="0.3"/>
  <cols>
    <col min="2" max="2" width="40.44140625" customWidth="1"/>
    <col min="3" max="3" width="53.88671875" customWidth="1"/>
    <col min="4" max="5" width="47" customWidth="1"/>
    <col min="6" max="6" width="135" bestFit="1" customWidth="1"/>
    <col min="7" max="7" width="144.6640625" bestFit="1" customWidth="1"/>
  </cols>
  <sheetData>
    <row r="1" spans="1:23" ht="32.4" x14ac:dyDescent="0.3">
      <c r="A1" s="8"/>
      <c r="B1" s="30" t="s">
        <v>492</v>
      </c>
      <c r="C1" s="30"/>
      <c r="D1" s="28"/>
      <c r="E1" s="28"/>
      <c r="F1" s="30"/>
      <c r="G1" s="8"/>
      <c r="H1" s="8"/>
      <c r="I1" s="8"/>
      <c r="J1" s="8"/>
      <c r="K1" s="8"/>
      <c r="L1" s="8"/>
      <c r="M1" s="8"/>
      <c r="N1" s="8"/>
      <c r="O1" s="8"/>
      <c r="P1" s="8"/>
      <c r="Q1" s="8"/>
      <c r="R1" s="8"/>
      <c r="S1" s="8"/>
      <c r="T1" s="8"/>
      <c r="U1" s="8"/>
      <c r="V1" s="8"/>
      <c r="W1" s="8"/>
    </row>
    <row r="2" spans="1:23" ht="15" thickBot="1" x14ac:dyDescent="0.35">
      <c r="A2" s="8"/>
      <c r="B2" s="8"/>
      <c r="C2" s="8"/>
      <c r="D2" s="8"/>
      <c r="E2" s="8"/>
      <c r="F2" s="8"/>
      <c r="G2" s="8"/>
      <c r="H2" s="8"/>
      <c r="I2" s="8"/>
      <c r="J2" s="8"/>
      <c r="K2" s="8"/>
      <c r="L2" s="8"/>
      <c r="M2" s="8"/>
      <c r="N2" s="8"/>
      <c r="O2" s="8"/>
      <c r="P2" s="8"/>
      <c r="Q2" s="8"/>
      <c r="R2" s="8"/>
      <c r="S2" s="8"/>
      <c r="T2" s="8"/>
      <c r="U2" s="8"/>
      <c r="V2" s="8"/>
      <c r="W2" s="8"/>
    </row>
    <row r="3" spans="1:23" ht="20.399999999999999" x14ac:dyDescent="0.3">
      <c r="A3" s="22"/>
      <c r="B3" s="499" t="s">
        <v>663</v>
      </c>
      <c r="C3" s="500"/>
      <c r="D3" s="500"/>
      <c r="E3" s="501"/>
      <c r="F3" s="31"/>
      <c r="G3" s="8"/>
      <c r="H3" s="8"/>
      <c r="I3" s="8"/>
      <c r="J3" s="8"/>
      <c r="K3" s="8"/>
      <c r="L3" s="8"/>
      <c r="M3" s="8"/>
      <c r="N3" s="8"/>
      <c r="O3" s="8"/>
      <c r="P3" s="8"/>
      <c r="Q3" s="8"/>
    </row>
    <row r="4" spans="1:23" ht="20.399999999999999" x14ac:dyDescent="0.3">
      <c r="A4" s="22"/>
      <c r="B4" s="124" t="s">
        <v>664</v>
      </c>
      <c r="C4" s="125" t="s">
        <v>665</v>
      </c>
      <c r="D4" s="125" t="s">
        <v>666</v>
      </c>
      <c r="E4" s="126" t="s">
        <v>532</v>
      </c>
      <c r="F4" s="31"/>
      <c r="G4" s="8"/>
      <c r="H4" s="8"/>
      <c r="I4" s="8"/>
      <c r="J4" s="8"/>
      <c r="K4" s="8"/>
      <c r="L4" s="8"/>
      <c r="M4" s="8"/>
      <c r="N4" s="8"/>
      <c r="O4" s="8"/>
      <c r="P4" s="8"/>
      <c r="Q4" s="8"/>
    </row>
    <row r="5" spans="1:23" ht="67.8" customHeight="1" x14ac:dyDescent="0.3">
      <c r="A5" s="22"/>
      <c r="B5" s="127" t="s">
        <v>538</v>
      </c>
      <c r="C5" s="128">
        <v>0.2</v>
      </c>
      <c r="D5" s="129" t="s">
        <v>667</v>
      </c>
      <c r="E5" s="130" t="s">
        <v>668</v>
      </c>
      <c r="F5" s="31"/>
      <c r="G5" s="8"/>
      <c r="H5" s="8"/>
      <c r="I5" s="8"/>
      <c r="J5" s="8"/>
      <c r="K5" s="8"/>
      <c r="L5" s="8"/>
      <c r="M5" s="8"/>
      <c r="N5" s="8"/>
      <c r="O5" s="8"/>
      <c r="P5" s="8"/>
      <c r="Q5" s="8"/>
    </row>
    <row r="6" spans="1:23" ht="67.8" customHeight="1" x14ac:dyDescent="0.3">
      <c r="A6" s="22"/>
      <c r="B6" s="131" t="s">
        <v>494</v>
      </c>
      <c r="C6" s="128">
        <v>0.4</v>
      </c>
      <c r="D6" s="132" t="s">
        <v>669</v>
      </c>
      <c r="E6" s="133" t="s">
        <v>670</v>
      </c>
      <c r="F6" s="31"/>
      <c r="G6" s="8"/>
      <c r="H6" s="8"/>
      <c r="I6" s="8"/>
      <c r="J6" s="8"/>
      <c r="K6" s="8"/>
      <c r="L6" s="8"/>
      <c r="M6" s="8"/>
      <c r="N6" s="8"/>
      <c r="O6" s="8"/>
      <c r="P6" s="8"/>
      <c r="Q6" s="8"/>
    </row>
    <row r="7" spans="1:23" ht="67.8" customHeight="1" x14ac:dyDescent="0.3">
      <c r="A7" s="22"/>
      <c r="B7" s="134" t="s">
        <v>125</v>
      </c>
      <c r="C7" s="128">
        <v>0.6</v>
      </c>
      <c r="D7" s="132" t="s">
        <v>671</v>
      </c>
      <c r="E7" s="133" t="s">
        <v>672</v>
      </c>
      <c r="F7" s="31"/>
      <c r="G7" s="8"/>
      <c r="H7" s="8"/>
      <c r="I7" s="8"/>
      <c r="J7" s="8"/>
      <c r="K7" s="8"/>
      <c r="L7" s="8"/>
      <c r="M7" s="8"/>
      <c r="N7" s="8"/>
      <c r="O7" s="8"/>
      <c r="P7" s="8"/>
      <c r="Q7" s="8"/>
    </row>
    <row r="8" spans="1:23" ht="67.8" customHeight="1" x14ac:dyDescent="0.3">
      <c r="A8" s="22"/>
      <c r="B8" s="135" t="s">
        <v>145</v>
      </c>
      <c r="C8" s="128">
        <v>0.8</v>
      </c>
      <c r="D8" s="132" t="s">
        <v>673</v>
      </c>
      <c r="E8" s="133" t="s">
        <v>674</v>
      </c>
      <c r="F8" s="31"/>
      <c r="G8" s="8"/>
      <c r="H8" s="8"/>
      <c r="I8" s="8"/>
      <c r="J8" s="8"/>
      <c r="K8" s="8"/>
      <c r="L8" s="8"/>
      <c r="M8" s="8"/>
      <c r="N8" s="8"/>
      <c r="O8" s="8"/>
      <c r="P8" s="8"/>
      <c r="Q8" s="8"/>
    </row>
    <row r="9" spans="1:23" ht="67.8" customHeight="1" x14ac:dyDescent="0.3">
      <c r="A9" s="22"/>
      <c r="B9" s="136" t="s">
        <v>160</v>
      </c>
      <c r="C9" s="128">
        <v>1</v>
      </c>
      <c r="D9" s="132" t="s">
        <v>675</v>
      </c>
      <c r="E9" s="133" t="s">
        <v>676</v>
      </c>
      <c r="F9" s="31"/>
      <c r="G9" s="8"/>
      <c r="H9" s="8"/>
      <c r="I9" s="8"/>
      <c r="J9" s="8"/>
      <c r="K9" s="8"/>
      <c r="L9" s="8"/>
      <c r="M9" s="8"/>
      <c r="N9" s="8"/>
      <c r="O9" s="8"/>
      <c r="P9" s="8"/>
      <c r="Q9" s="8"/>
    </row>
    <row r="10" spans="1:23" ht="20.399999999999999" x14ac:dyDescent="0.3">
      <c r="A10" s="22"/>
      <c r="B10" s="22"/>
      <c r="C10" s="31"/>
      <c r="D10" s="31"/>
      <c r="E10" s="31"/>
      <c r="F10" s="31"/>
      <c r="G10" s="8"/>
      <c r="H10" s="8"/>
      <c r="I10" s="8"/>
      <c r="J10" s="8"/>
      <c r="K10" s="8"/>
      <c r="L10" s="8"/>
      <c r="M10" s="8"/>
      <c r="N10" s="8"/>
      <c r="O10" s="8"/>
      <c r="P10" s="8"/>
      <c r="Q10" s="8"/>
    </row>
    <row r="11" spans="1:23" ht="20.399999999999999" x14ac:dyDescent="0.3">
      <c r="A11" s="22"/>
      <c r="B11" s="22"/>
      <c r="C11" s="31"/>
      <c r="D11" s="31"/>
      <c r="E11" s="31"/>
      <c r="F11" s="31"/>
      <c r="G11" s="8"/>
      <c r="H11" s="8"/>
      <c r="I11" s="8"/>
      <c r="J11" s="8"/>
      <c r="K11" s="8"/>
      <c r="L11" s="8"/>
      <c r="M11" s="8"/>
      <c r="N11" s="8"/>
      <c r="O11" s="8"/>
      <c r="P11" s="8"/>
      <c r="Q11" s="8"/>
    </row>
    <row r="12" spans="1:23" ht="20.399999999999999" x14ac:dyDescent="0.3">
      <c r="A12" s="22"/>
      <c r="B12" s="22"/>
      <c r="C12" s="31"/>
      <c r="D12" s="31"/>
      <c r="E12" s="31"/>
      <c r="F12" s="31"/>
      <c r="G12" s="8"/>
      <c r="H12" s="8"/>
      <c r="I12" s="8"/>
      <c r="J12" s="8"/>
      <c r="K12" s="8"/>
      <c r="L12" s="8"/>
      <c r="M12" s="8"/>
      <c r="N12" s="8"/>
      <c r="O12" s="8"/>
      <c r="P12" s="8"/>
      <c r="Q12" s="8"/>
    </row>
    <row r="13" spans="1:23" ht="20.399999999999999" x14ac:dyDescent="0.3">
      <c r="A13" s="22"/>
      <c r="B13" s="22"/>
      <c r="C13" s="31"/>
      <c r="D13" s="31"/>
      <c r="E13" s="31"/>
      <c r="F13" s="31"/>
      <c r="G13" s="8"/>
      <c r="H13" s="8"/>
      <c r="I13" s="8"/>
      <c r="J13" s="8"/>
      <c r="K13" s="8"/>
      <c r="L13" s="8"/>
      <c r="M13" s="8"/>
      <c r="N13" s="8"/>
      <c r="O13" s="8"/>
      <c r="P13" s="8"/>
      <c r="Q13" s="8"/>
    </row>
    <row r="14" spans="1:23" ht="20.399999999999999" x14ac:dyDescent="0.3">
      <c r="A14" s="22"/>
      <c r="B14" s="22"/>
      <c r="C14" s="31"/>
      <c r="D14" s="31"/>
      <c r="E14" s="31"/>
      <c r="F14" s="31"/>
      <c r="G14" s="8"/>
      <c r="H14" s="8"/>
      <c r="I14" s="8"/>
      <c r="J14" s="8"/>
      <c r="K14" s="8"/>
      <c r="L14" s="8"/>
      <c r="M14" s="8"/>
      <c r="N14" s="8"/>
      <c r="O14" s="8"/>
      <c r="P14" s="8"/>
      <c r="Q14" s="8"/>
    </row>
    <row r="15" spans="1:23" ht="20.399999999999999" x14ac:dyDescent="0.3">
      <c r="A15" s="22"/>
      <c r="B15" s="22"/>
      <c r="C15" s="31"/>
      <c r="D15" s="31"/>
      <c r="E15" s="31"/>
      <c r="F15" s="31"/>
      <c r="G15" s="8"/>
      <c r="H15" s="8"/>
      <c r="I15" s="8"/>
      <c r="J15" s="8"/>
      <c r="K15" s="8"/>
      <c r="L15" s="8"/>
      <c r="M15" s="8"/>
      <c r="N15" s="8"/>
      <c r="O15" s="8"/>
      <c r="P15" s="8"/>
      <c r="Q15" s="8"/>
    </row>
    <row r="16" spans="1:23" ht="20.399999999999999" x14ac:dyDescent="0.3">
      <c r="A16" s="22"/>
      <c r="B16" s="22"/>
      <c r="C16" s="31"/>
      <c r="D16" s="31"/>
      <c r="E16" s="31"/>
      <c r="F16" s="31"/>
      <c r="G16" s="8"/>
      <c r="H16" s="8"/>
      <c r="I16" s="8"/>
      <c r="J16" s="8"/>
      <c r="K16" s="8"/>
      <c r="L16" s="8"/>
      <c r="M16" s="8"/>
      <c r="N16" s="8"/>
      <c r="O16" s="8"/>
      <c r="P16" s="8"/>
      <c r="Q16" s="8"/>
    </row>
    <row r="17" spans="1:17" ht="20.399999999999999" x14ac:dyDescent="0.3">
      <c r="A17" s="22"/>
      <c r="B17" s="22"/>
      <c r="C17" s="31"/>
      <c r="D17" s="31"/>
      <c r="E17" s="31"/>
      <c r="F17" s="31"/>
      <c r="G17" s="8"/>
      <c r="H17" s="8"/>
      <c r="I17" s="8"/>
      <c r="J17" s="8"/>
      <c r="K17" s="8"/>
      <c r="L17" s="8"/>
      <c r="M17" s="8"/>
      <c r="N17" s="8"/>
      <c r="O17" s="8"/>
      <c r="P17" s="8"/>
      <c r="Q17" s="8"/>
    </row>
    <row r="18" spans="1:17" ht="20.399999999999999" x14ac:dyDescent="0.3">
      <c r="A18" s="22"/>
      <c r="B18" s="22"/>
      <c r="C18" s="31"/>
      <c r="D18" s="31"/>
      <c r="E18" s="31"/>
      <c r="F18" s="31"/>
      <c r="G18" s="8"/>
      <c r="H18" s="8"/>
      <c r="I18" s="8"/>
      <c r="J18" s="8"/>
      <c r="K18" s="8"/>
      <c r="L18" s="8"/>
      <c r="M18" s="8"/>
      <c r="N18" s="8"/>
      <c r="O18" s="8"/>
      <c r="P18" s="8"/>
      <c r="Q18" s="8"/>
    </row>
    <row r="19" spans="1:17" ht="20.399999999999999" x14ac:dyDescent="0.3">
      <c r="A19" s="22"/>
      <c r="B19" s="22"/>
      <c r="C19" s="31"/>
      <c r="D19" s="31"/>
      <c r="E19" s="31"/>
      <c r="F19" s="31"/>
      <c r="G19" s="8"/>
      <c r="H19" s="8"/>
      <c r="I19" s="8"/>
      <c r="J19" s="8"/>
      <c r="K19" s="8"/>
      <c r="L19" s="8"/>
      <c r="M19" s="8"/>
      <c r="N19" s="8"/>
      <c r="O19" s="8"/>
      <c r="P19" s="8"/>
      <c r="Q19" s="8"/>
    </row>
    <row r="20" spans="1:17" ht="20.399999999999999" x14ac:dyDescent="0.3">
      <c r="A20" s="22"/>
      <c r="B20" s="5"/>
      <c r="C20" s="32"/>
      <c r="D20" s="32"/>
      <c r="E20" s="32"/>
      <c r="F20" s="32"/>
    </row>
    <row r="21" spans="1:17" ht="20.399999999999999" x14ac:dyDescent="0.3">
      <c r="A21" s="22"/>
      <c r="B21" s="5"/>
      <c r="C21" s="32"/>
      <c r="D21" s="32"/>
      <c r="E21" s="32"/>
      <c r="F21" s="32"/>
    </row>
    <row r="22" spans="1:17" ht="20.399999999999999" x14ac:dyDescent="0.3">
      <c r="A22" s="22"/>
      <c r="B22" s="5"/>
      <c r="C22" s="32"/>
      <c r="D22" s="32"/>
      <c r="E22" s="32"/>
      <c r="F22" s="32"/>
    </row>
    <row r="23" spans="1:17" ht="20.399999999999999" x14ac:dyDescent="0.3">
      <c r="A23" s="22"/>
      <c r="B23" s="5"/>
      <c r="C23" s="32"/>
      <c r="D23" s="32"/>
      <c r="E23" s="32"/>
      <c r="F23" s="32"/>
    </row>
    <row r="24" spans="1:17" ht="20.399999999999999" x14ac:dyDescent="0.3">
      <c r="A24" s="22"/>
      <c r="B24" s="5"/>
      <c r="C24" s="32"/>
      <c r="D24" s="32"/>
      <c r="E24" s="32"/>
      <c r="F24" s="32"/>
    </row>
    <row r="25" spans="1:17" ht="20.399999999999999" x14ac:dyDescent="0.3">
      <c r="A25" s="22"/>
      <c r="B25" s="5"/>
      <c r="C25" s="32"/>
      <c r="D25" s="32"/>
      <c r="E25" s="32"/>
      <c r="F25" s="32"/>
    </row>
    <row r="26" spans="1:17" ht="20.399999999999999" x14ac:dyDescent="0.3">
      <c r="A26" s="22"/>
      <c r="B26" s="5"/>
      <c r="C26" s="32"/>
      <c r="D26" s="32"/>
      <c r="E26" s="32"/>
      <c r="F26" s="32"/>
    </row>
    <row r="27" spans="1:17" ht="20.399999999999999" x14ac:dyDescent="0.3">
      <c r="A27" s="22"/>
      <c r="B27" s="5"/>
      <c r="C27" s="32"/>
      <c r="D27" s="32"/>
      <c r="E27" s="32"/>
      <c r="F27" s="32"/>
    </row>
    <row r="28" spans="1:17" ht="20.399999999999999" x14ac:dyDescent="0.3">
      <c r="A28" s="22"/>
      <c r="B28" s="5"/>
      <c r="C28" s="32"/>
      <c r="D28" s="32"/>
      <c r="E28" s="32"/>
      <c r="F28" s="32"/>
    </row>
    <row r="29" spans="1:17" ht="20.399999999999999" x14ac:dyDescent="0.3">
      <c r="A29" s="22"/>
      <c r="B29" s="5"/>
      <c r="C29" s="32"/>
      <c r="D29" s="32"/>
      <c r="E29" s="32"/>
      <c r="F29" s="32"/>
    </row>
    <row r="30" spans="1:17" ht="20.399999999999999" x14ac:dyDescent="0.3">
      <c r="A30" s="22"/>
      <c r="B30" s="5"/>
      <c r="C30" s="32"/>
      <c r="D30" s="32"/>
      <c r="E30" s="32"/>
      <c r="F30" s="32"/>
    </row>
    <row r="31" spans="1:17" ht="20.399999999999999" x14ac:dyDescent="0.3">
      <c r="A31" s="22"/>
      <c r="B31" s="5"/>
      <c r="C31" s="32"/>
      <c r="D31" s="32"/>
      <c r="E31" s="32"/>
      <c r="F31" s="32"/>
    </row>
    <row r="32" spans="1:17" ht="20.399999999999999" x14ac:dyDescent="0.3">
      <c r="A32" s="22"/>
      <c r="B32" s="5"/>
      <c r="C32" s="32"/>
      <c r="D32" s="32"/>
      <c r="E32" s="32"/>
      <c r="F32" s="32"/>
    </row>
    <row r="33" spans="1:6" ht="20.399999999999999" x14ac:dyDescent="0.3">
      <c r="A33" s="22"/>
      <c r="B33" s="5"/>
      <c r="C33" s="32"/>
      <c r="D33" s="32"/>
      <c r="E33" s="32"/>
      <c r="F33" s="32"/>
    </row>
    <row r="34" spans="1:6" ht="20.399999999999999" x14ac:dyDescent="0.3">
      <c r="A34" s="22"/>
      <c r="B34" s="5"/>
      <c r="C34" s="32"/>
      <c r="D34" s="32"/>
      <c r="E34" s="32"/>
      <c r="F34" s="32"/>
    </row>
    <row r="35" spans="1:6" ht="20.399999999999999" x14ac:dyDescent="0.3">
      <c r="A35" s="22"/>
      <c r="B35" s="5"/>
      <c r="C35" s="32"/>
      <c r="D35" s="32"/>
      <c r="E35" s="32"/>
      <c r="F35" s="32"/>
    </row>
    <row r="36" spans="1:6" ht="20.399999999999999" x14ac:dyDescent="0.3">
      <c r="A36" s="22"/>
      <c r="B36" s="5"/>
      <c r="C36" s="32"/>
      <c r="D36" s="32"/>
      <c r="E36" s="32"/>
      <c r="F36" s="32"/>
    </row>
    <row r="37" spans="1:6" ht="20.399999999999999" x14ac:dyDescent="0.3">
      <c r="A37" s="22"/>
      <c r="B37" s="5"/>
      <c r="C37" s="32"/>
      <c r="D37" s="32"/>
      <c r="E37" s="32"/>
      <c r="F37" s="32"/>
    </row>
    <row r="38" spans="1:6" ht="20.399999999999999" x14ac:dyDescent="0.3">
      <c r="A38" s="22"/>
      <c r="B38" s="5"/>
      <c r="C38" s="32"/>
      <c r="D38" s="32"/>
      <c r="E38" s="32"/>
      <c r="F38" s="32"/>
    </row>
    <row r="39" spans="1:6" ht="20.399999999999999" x14ac:dyDescent="0.3">
      <c r="A39" s="22"/>
      <c r="B39" s="5"/>
      <c r="C39" s="32"/>
      <c r="D39" s="32"/>
      <c r="E39" s="32"/>
      <c r="F39" s="32"/>
    </row>
    <row r="40" spans="1:6" ht="20.399999999999999" x14ac:dyDescent="0.3">
      <c r="A40" s="22"/>
      <c r="B40" s="5"/>
      <c r="C40" s="32"/>
      <c r="D40" s="32"/>
      <c r="E40" s="32"/>
      <c r="F40" s="32"/>
    </row>
    <row r="41" spans="1:6" ht="20.399999999999999" x14ac:dyDescent="0.3">
      <c r="A41" s="22"/>
      <c r="B41" s="5"/>
      <c r="C41" s="32"/>
      <c r="D41" s="32"/>
      <c r="E41" s="32"/>
      <c r="F41" s="32"/>
    </row>
    <row r="42" spans="1:6" ht="20.399999999999999" x14ac:dyDescent="0.3">
      <c r="A42" s="22"/>
      <c r="B42" s="5"/>
      <c r="C42" s="32"/>
      <c r="D42" s="32"/>
      <c r="E42" s="32"/>
      <c r="F42" s="32"/>
    </row>
    <row r="43" spans="1:6" ht="20.399999999999999" x14ac:dyDescent="0.3">
      <c r="A43" s="22"/>
      <c r="B43" s="5"/>
      <c r="C43" s="32"/>
      <c r="D43" s="32"/>
      <c r="E43" s="32"/>
      <c r="F43" s="32"/>
    </row>
    <row r="44" spans="1:6" ht="20.399999999999999" x14ac:dyDescent="0.3">
      <c r="A44" s="22"/>
      <c r="B44" s="5"/>
      <c r="C44" s="32"/>
      <c r="D44" s="32"/>
      <c r="E44" s="32"/>
      <c r="F44" s="32"/>
    </row>
    <row r="45" spans="1:6" ht="20.399999999999999" x14ac:dyDescent="0.3">
      <c r="A45" s="22"/>
      <c r="B45" s="5"/>
      <c r="C45" s="32"/>
      <c r="D45" s="32"/>
      <c r="E45" s="32"/>
      <c r="F45" s="32"/>
    </row>
    <row r="46" spans="1:6" ht="20.399999999999999" x14ac:dyDescent="0.3">
      <c r="A46" s="22"/>
      <c r="B46" s="5"/>
      <c r="C46" s="32"/>
      <c r="D46" s="32"/>
      <c r="E46" s="32"/>
      <c r="F46" s="32"/>
    </row>
    <row r="47" spans="1:6" ht="20.399999999999999" x14ac:dyDescent="0.3">
      <c r="A47" s="22"/>
      <c r="B47" s="5"/>
      <c r="C47" s="32"/>
      <c r="D47" s="32"/>
      <c r="E47" s="32"/>
      <c r="F47" s="32"/>
    </row>
    <row r="48" spans="1:6" ht="20.399999999999999" x14ac:dyDescent="0.3">
      <c r="A48" s="22"/>
      <c r="B48" s="5"/>
      <c r="C48" s="32"/>
      <c r="D48" s="32"/>
      <c r="E48" s="32"/>
      <c r="F48" s="32"/>
    </row>
    <row r="49" spans="1:6" ht="20.399999999999999" x14ac:dyDescent="0.3">
      <c r="A49" s="22"/>
      <c r="B49" s="5"/>
      <c r="C49" s="32"/>
      <c r="D49" s="32"/>
      <c r="E49" s="32"/>
      <c r="F49" s="32"/>
    </row>
    <row r="50" spans="1:6" ht="20.399999999999999" x14ac:dyDescent="0.3">
      <c r="A50" s="22"/>
      <c r="B50" s="5"/>
      <c r="C50" s="32"/>
      <c r="D50" s="32"/>
      <c r="E50" s="32"/>
      <c r="F50" s="32"/>
    </row>
    <row r="51" spans="1:6" ht="20.399999999999999" x14ac:dyDescent="0.3">
      <c r="A51" s="22"/>
      <c r="B51" s="5"/>
      <c r="C51" s="32"/>
      <c r="D51" s="32"/>
      <c r="E51" s="32"/>
      <c r="F51" s="32"/>
    </row>
    <row r="52" spans="1:6" ht="20.399999999999999" x14ac:dyDescent="0.3">
      <c r="A52" s="22"/>
      <c r="B52" s="5"/>
      <c r="C52" s="32"/>
      <c r="D52" s="32"/>
      <c r="E52" s="32"/>
      <c r="F52" s="32"/>
    </row>
    <row r="53" spans="1:6" ht="20.399999999999999" x14ac:dyDescent="0.3">
      <c r="A53" s="22"/>
      <c r="B53" s="5"/>
      <c r="C53" s="32"/>
      <c r="D53" s="32"/>
      <c r="E53" s="32"/>
      <c r="F53" s="32"/>
    </row>
    <row r="54" spans="1:6" ht="20.399999999999999" x14ac:dyDescent="0.3">
      <c r="A54" s="22"/>
      <c r="B54" s="5"/>
      <c r="C54" s="32"/>
      <c r="D54" s="32"/>
      <c r="E54" s="32"/>
      <c r="F54" s="32"/>
    </row>
    <row r="55" spans="1:6" ht="20.399999999999999" x14ac:dyDescent="0.3">
      <c r="A55" s="22"/>
      <c r="B55" s="5"/>
      <c r="C55" s="32"/>
      <c r="D55" s="32"/>
      <c r="E55" s="32"/>
      <c r="F55" s="32"/>
    </row>
    <row r="56" spans="1:6" ht="20.399999999999999" x14ac:dyDescent="0.3">
      <c r="A56" s="22"/>
      <c r="B56" s="5"/>
      <c r="C56" s="32"/>
      <c r="D56" s="32"/>
      <c r="E56" s="32"/>
      <c r="F56" s="32"/>
    </row>
    <row r="57" spans="1:6" ht="20.399999999999999" x14ac:dyDescent="0.3">
      <c r="A57" s="22"/>
      <c r="B57" s="5"/>
      <c r="C57" s="32"/>
      <c r="D57" s="32"/>
      <c r="E57" s="32"/>
      <c r="F57" s="32"/>
    </row>
    <row r="58" spans="1:6" ht="20.399999999999999" x14ac:dyDescent="0.3">
      <c r="A58" s="22"/>
      <c r="B58" s="5"/>
      <c r="C58" s="32"/>
      <c r="D58" s="32"/>
      <c r="E58" s="32"/>
      <c r="F58" s="32"/>
    </row>
    <row r="59" spans="1:6" ht="20.399999999999999" x14ac:dyDescent="0.3">
      <c r="A59" s="22"/>
      <c r="B59" s="5"/>
      <c r="C59" s="32"/>
      <c r="D59" s="32"/>
      <c r="E59" s="32"/>
      <c r="F59" s="32"/>
    </row>
    <row r="60" spans="1:6" ht="20.399999999999999" x14ac:dyDescent="0.3">
      <c r="A60" s="22"/>
      <c r="B60" s="5"/>
      <c r="C60" s="32"/>
      <c r="D60" s="32"/>
      <c r="E60" s="32"/>
      <c r="F60" s="32"/>
    </row>
    <row r="61" spans="1:6" ht="20.399999999999999" x14ac:dyDescent="0.3">
      <c r="A61" s="22"/>
      <c r="B61" s="5"/>
      <c r="C61" s="32"/>
      <c r="D61" s="32"/>
      <c r="E61" s="32"/>
      <c r="F61" s="32"/>
    </row>
    <row r="62" spans="1:6" ht="20.399999999999999" x14ac:dyDescent="0.3">
      <c r="A62" s="22"/>
      <c r="B62" s="5"/>
      <c r="C62" s="32"/>
      <c r="D62" s="32"/>
      <c r="E62" s="32"/>
      <c r="F62" s="32"/>
    </row>
    <row r="63" spans="1:6" ht="20.399999999999999" x14ac:dyDescent="0.3">
      <c r="A63" s="22"/>
      <c r="B63" s="5"/>
      <c r="C63" s="32"/>
      <c r="D63" s="32"/>
      <c r="E63" s="32"/>
      <c r="F63" s="32"/>
    </row>
    <row r="64" spans="1:6" ht="20.399999999999999" x14ac:dyDescent="0.3">
      <c r="A64" s="22"/>
      <c r="B64" s="5"/>
      <c r="C64" s="32"/>
      <c r="D64" s="32"/>
      <c r="E64" s="32"/>
      <c r="F64" s="32"/>
    </row>
    <row r="65" spans="1:6" ht="20.399999999999999" x14ac:dyDescent="0.3">
      <c r="A65" s="22"/>
      <c r="B65" s="5"/>
      <c r="C65" s="32"/>
      <c r="D65" s="32"/>
      <c r="E65" s="32"/>
      <c r="F65" s="32"/>
    </row>
    <row r="66" spans="1:6" ht="20.399999999999999" x14ac:dyDescent="0.3">
      <c r="A66" s="22"/>
      <c r="B66" s="5"/>
      <c r="C66" s="32"/>
      <c r="D66" s="32"/>
      <c r="E66" s="32"/>
      <c r="F66" s="32"/>
    </row>
    <row r="67" spans="1:6" ht="20.399999999999999" x14ac:dyDescent="0.3">
      <c r="A67" s="22"/>
      <c r="B67" s="5"/>
      <c r="C67" s="32"/>
      <c r="D67" s="32"/>
      <c r="E67" s="32"/>
      <c r="F67" s="32"/>
    </row>
    <row r="68" spans="1:6" ht="20.399999999999999" x14ac:dyDescent="0.3">
      <c r="A68" s="22"/>
      <c r="B68" s="5"/>
      <c r="C68" s="32"/>
      <c r="D68" s="32"/>
      <c r="E68" s="32"/>
      <c r="F68" s="32"/>
    </row>
    <row r="69" spans="1:6" ht="20.399999999999999" x14ac:dyDescent="0.3">
      <c r="A69" s="22"/>
      <c r="B69" s="5"/>
      <c r="C69" s="32"/>
      <c r="D69" s="32"/>
      <c r="E69" s="32"/>
      <c r="F69" s="32"/>
    </row>
    <row r="70" spans="1:6" ht="20.399999999999999" x14ac:dyDescent="0.3">
      <c r="A70" s="22"/>
      <c r="B70" s="5"/>
      <c r="C70" s="32"/>
      <c r="D70" s="32"/>
      <c r="E70" s="32"/>
      <c r="F70" s="32"/>
    </row>
    <row r="71" spans="1:6" ht="20.399999999999999" x14ac:dyDescent="0.3">
      <c r="A71" s="22"/>
      <c r="B71" s="5"/>
      <c r="C71" s="32"/>
      <c r="D71" s="32"/>
      <c r="E71" s="32"/>
      <c r="F71" s="32"/>
    </row>
    <row r="72" spans="1:6" ht="20.399999999999999" x14ac:dyDescent="0.3">
      <c r="A72" s="22"/>
      <c r="B72" s="5"/>
      <c r="C72" s="32"/>
      <c r="D72" s="32"/>
      <c r="E72" s="32"/>
      <c r="F72" s="32"/>
    </row>
    <row r="73" spans="1:6" ht="20.399999999999999" x14ac:dyDescent="0.3">
      <c r="A73" s="22"/>
      <c r="B73" s="5"/>
      <c r="C73" s="32"/>
      <c r="D73" s="32"/>
      <c r="E73" s="32"/>
      <c r="F73" s="32"/>
    </row>
    <row r="74" spans="1:6" ht="20.399999999999999" x14ac:dyDescent="0.3">
      <c r="A74" s="22"/>
      <c r="B74" s="5"/>
      <c r="C74" s="32"/>
      <c r="D74" s="32"/>
      <c r="E74" s="32"/>
      <c r="F74" s="32"/>
    </row>
    <row r="75" spans="1:6" ht="20.399999999999999" x14ac:dyDescent="0.3">
      <c r="A75" s="22"/>
      <c r="B75" s="5"/>
      <c r="C75" s="32"/>
      <c r="D75" s="32"/>
      <c r="E75" s="32"/>
      <c r="F75" s="32"/>
    </row>
    <row r="76" spans="1:6" ht="20.399999999999999" x14ac:dyDescent="0.3">
      <c r="A76" s="22"/>
      <c r="B76" s="5"/>
      <c r="C76" s="32"/>
      <c r="D76" s="32"/>
      <c r="E76" s="32"/>
      <c r="F76" s="32"/>
    </row>
    <row r="77" spans="1:6" ht="20.399999999999999" x14ac:dyDescent="0.3">
      <c r="A77" s="22"/>
      <c r="B77" s="5"/>
      <c r="C77" s="32"/>
      <c r="D77" s="32"/>
      <c r="E77" s="32"/>
      <c r="F77" s="32"/>
    </row>
    <row r="78" spans="1:6" ht="20.399999999999999" x14ac:dyDescent="0.3">
      <c r="A78" s="22"/>
      <c r="B78" s="5"/>
      <c r="C78" s="32"/>
      <c r="D78" s="32"/>
      <c r="E78" s="32"/>
      <c r="F78" s="32"/>
    </row>
    <row r="79" spans="1:6" ht="20.399999999999999" x14ac:dyDescent="0.3">
      <c r="A79" s="22"/>
      <c r="B79" s="5"/>
      <c r="C79" s="32"/>
      <c r="D79" s="32"/>
      <c r="E79" s="32"/>
      <c r="F79" s="32"/>
    </row>
    <row r="80" spans="1:6" ht="20.399999999999999" x14ac:dyDescent="0.3">
      <c r="A80" s="22"/>
      <c r="B80" s="5"/>
      <c r="C80" s="32"/>
      <c r="D80" s="32"/>
      <c r="E80" s="32"/>
      <c r="F80" s="32"/>
    </row>
    <row r="81" spans="1:6" ht="20.399999999999999" x14ac:dyDescent="0.3">
      <c r="A81" s="22"/>
      <c r="B81" s="5"/>
      <c r="C81" s="32"/>
      <c r="D81" s="32"/>
      <c r="E81" s="32"/>
      <c r="F81" s="32"/>
    </row>
    <row r="82" spans="1:6" ht="20.399999999999999" x14ac:dyDescent="0.3">
      <c r="A82" s="22"/>
      <c r="B82" s="5"/>
      <c r="C82" s="32"/>
      <c r="D82" s="32"/>
      <c r="E82" s="32"/>
      <c r="F82" s="32"/>
    </row>
    <row r="83" spans="1:6" ht="20.399999999999999" x14ac:dyDescent="0.3">
      <c r="A83" s="22"/>
      <c r="B83" s="5"/>
      <c r="C83" s="32"/>
      <c r="D83" s="32"/>
      <c r="E83" s="32"/>
      <c r="F83" s="32"/>
    </row>
    <row r="84" spans="1:6" ht="20.399999999999999" x14ac:dyDescent="0.3">
      <c r="A84" s="22"/>
      <c r="B84" s="5"/>
      <c r="C84" s="32"/>
      <c r="D84" s="32"/>
      <c r="E84" s="32"/>
      <c r="F84" s="32"/>
    </row>
    <row r="85" spans="1:6" ht="20.399999999999999" x14ac:dyDescent="0.3">
      <c r="A85" s="22"/>
      <c r="B85" s="5"/>
      <c r="C85" s="32"/>
      <c r="D85" s="32"/>
      <c r="E85" s="32"/>
      <c r="F85" s="32"/>
    </row>
    <row r="86" spans="1:6" ht="20.399999999999999" x14ac:dyDescent="0.3">
      <c r="A86" s="22"/>
      <c r="B86" s="5"/>
      <c r="C86" s="32"/>
      <c r="D86" s="32"/>
      <c r="E86" s="32"/>
      <c r="F86" s="32"/>
    </row>
    <row r="87" spans="1:6" ht="20.399999999999999" x14ac:dyDescent="0.3">
      <c r="A87" s="22"/>
      <c r="B87" s="5"/>
      <c r="C87" s="32"/>
      <c r="D87" s="32"/>
      <c r="E87" s="32"/>
      <c r="F87" s="32"/>
    </row>
    <row r="88" spans="1:6" ht="20.399999999999999" x14ac:dyDescent="0.3">
      <c r="A88" s="22"/>
      <c r="B88" s="5"/>
      <c r="C88" s="32"/>
      <c r="D88" s="32"/>
      <c r="E88" s="32"/>
      <c r="F88" s="32"/>
    </row>
    <row r="89" spans="1:6" ht="20.399999999999999" x14ac:dyDescent="0.3">
      <c r="A89" s="22"/>
      <c r="B89" s="5"/>
      <c r="C89" s="32"/>
      <c r="D89" s="32"/>
      <c r="E89" s="32"/>
      <c r="F89" s="32"/>
    </row>
    <row r="90" spans="1:6" ht="20.399999999999999" x14ac:dyDescent="0.3">
      <c r="A90" s="22"/>
      <c r="B90" s="5"/>
      <c r="C90" s="32"/>
      <c r="D90" s="32"/>
      <c r="E90" s="32"/>
      <c r="F90" s="32"/>
    </row>
    <row r="91" spans="1:6" ht="20.399999999999999" x14ac:dyDescent="0.3">
      <c r="A91" s="22"/>
      <c r="B91" s="5"/>
      <c r="C91" s="32"/>
      <c r="D91" s="32"/>
      <c r="E91" s="32"/>
      <c r="F91" s="32"/>
    </row>
    <row r="92" spans="1:6" ht="20.399999999999999" x14ac:dyDescent="0.3">
      <c r="A92" s="22"/>
      <c r="B92" s="5"/>
      <c r="C92" s="32"/>
      <c r="D92" s="32"/>
      <c r="E92" s="32"/>
      <c r="F92" s="32"/>
    </row>
    <row r="93" spans="1:6" ht="20.399999999999999" x14ac:dyDescent="0.3">
      <c r="A93" s="22"/>
      <c r="B93" s="5"/>
      <c r="C93" s="32"/>
      <c r="D93" s="32"/>
      <c r="E93" s="32"/>
      <c r="F93" s="32"/>
    </row>
    <row r="94" spans="1:6" ht="20.399999999999999" x14ac:dyDescent="0.3">
      <c r="A94" s="22"/>
      <c r="B94" s="5"/>
      <c r="C94" s="32"/>
      <c r="D94" s="32"/>
      <c r="E94" s="32"/>
      <c r="F94" s="32"/>
    </row>
    <row r="95" spans="1:6" ht="20.399999999999999" x14ac:dyDescent="0.3">
      <c r="A95" s="22"/>
      <c r="B95" s="5"/>
      <c r="C95" s="32"/>
      <c r="D95" s="32"/>
      <c r="E95" s="32"/>
      <c r="F95" s="32"/>
    </row>
    <row r="96" spans="1:6" ht="20.399999999999999" x14ac:dyDescent="0.3">
      <c r="A96" s="22"/>
      <c r="B96" s="5"/>
      <c r="C96" s="32"/>
      <c r="D96" s="32"/>
      <c r="E96" s="32"/>
      <c r="F96" s="32"/>
    </row>
    <row r="97" spans="1:6" ht="20.399999999999999" x14ac:dyDescent="0.3">
      <c r="A97" s="22"/>
      <c r="B97" s="5"/>
      <c r="C97" s="32"/>
      <c r="D97" s="32"/>
      <c r="E97" s="32"/>
      <c r="F97" s="32"/>
    </row>
    <row r="98" spans="1:6" ht="20.399999999999999" x14ac:dyDescent="0.3">
      <c r="A98" s="22"/>
      <c r="B98" s="5"/>
      <c r="C98" s="32"/>
      <c r="D98" s="32"/>
      <c r="E98" s="32"/>
      <c r="F98" s="32"/>
    </row>
    <row r="99" spans="1:6" ht="20.399999999999999" x14ac:dyDescent="0.3">
      <c r="A99" s="22"/>
      <c r="B99" s="5"/>
      <c r="C99" s="32"/>
      <c r="D99" s="32"/>
      <c r="E99" s="32"/>
      <c r="F99" s="32"/>
    </row>
    <row r="100" spans="1:6" ht="20.399999999999999" x14ac:dyDescent="0.3">
      <c r="A100" s="22"/>
      <c r="B100" s="5"/>
      <c r="C100" s="32"/>
      <c r="D100" s="32"/>
      <c r="E100" s="32"/>
      <c r="F100" s="32"/>
    </row>
    <row r="101" spans="1:6" ht="20.399999999999999" x14ac:dyDescent="0.3">
      <c r="A101" s="22"/>
      <c r="B101" s="5"/>
      <c r="C101" s="32"/>
      <c r="D101" s="32"/>
      <c r="E101" s="32"/>
      <c r="F101" s="32"/>
    </row>
    <row r="102" spans="1:6" ht="20.399999999999999" x14ac:dyDescent="0.3">
      <c r="A102" s="22"/>
      <c r="B102" s="5"/>
      <c r="C102" s="32"/>
      <c r="D102" s="32"/>
      <c r="E102" s="32"/>
      <c r="F102" s="32"/>
    </row>
    <row r="103" spans="1:6" ht="20.399999999999999" x14ac:dyDescent="0.3">
      <c r="A103" s="22"/>
      <c r="B103" s="5"/>
      <c r="C103" s="32"/>
      <c r="D103" s="32"/>
      <c r="E103" s="32"/>
      <c r="F103" s="32"/>
    </row>
    <row r="104" spans="1:6" ht="20.399999999999999" x14ac:dyDescent="0.3">
      <c r="A104" s="22"/>
      <c r="B104" s="5"/>
      <c r="C104" s="32"/>
      <c r="D104" s="32"/>
      <c r="E104" s="32"/>
      <c r="F104" s="32"/>
    </row>
    <row r="105" spans="1:6" ht="20.399999999999999" x14ac:dyDescent="0.3">
      <c r="A105" s="22"/>
      <c r="B105" s="5"/>
      <c r="C105" s="32"/>
      <c r="D105" s="32"/>
      <c r="E105" s="32"/>
      <c r="F105" s="32"/>
    </row>
    <row r="106" spans="1:6" ht="20.399999999999999" x14ac:dyDescent="0.3">
      <c r="A106" s="22"/>
      <c r="B106" s="5"/>
      <c r="C106" s="32"/>
      <c r="D106" s="32"/>
      <c r="E106" s="32"/>
      <c r="F106" s="32"/>
    </row>
    <row r="107" spans="1:6" ht="20.399999999999999" x14ac:dyDescent="0.3">
      <c r="A107" s="22"/>
      <c r="B107" s="5"/>
      <c r="C107" s="32"/>
      <c r="D107" s="32"/>
      <c r="E107" s="32"/>
      <c r="F107" s="32"/>
    </row>
    <row r="108" spans="1:6" ht="20.399999999999999" x14ac:dyDescent="0.3">
      <c r="A108" s="22"/>
      <c r="B108" s="5"/>
      <c r="C108" s="32"/>
      <c r="D108" s="32"/>
      <c r="E108" s="32"/>
      <c r="F108" s="32"/>
    </row>
    <row r="109" spans="1:6" ht="20.399999999999999" x14ac:dyDescent="0.3">
      <c r="A109" s="22"/>
      <c r="B109" s="5"/>
      <c r="C109" s="32"/>
      <c r="D109" s="32"/>
      <c r="E109" s="32"/>
      <c r="F109" s="32"/>
    </row>
    <row r="110" spans="1:6" ht="20.399999999999999" x14ac:dyDescent="0.3">
      <c r="A110" s="22"/>
      <c r="B110" s="5"/>
      <c r="C110" s="32"/>
      <c r="D110" s="32"/>
      <c r="E110" s="32"/>
      <c r="F110" s="32"/>
    </row>
    <row r="111" spans="1:6" ht="20.399999999999999" x14ac:dyDescent="0.3">
      <c r="A111" s="22"/>
      <c r="B111" s="5"/>
      <c r="C111" s="32"/>
      <c r="D111" s="32"/>
      <c r="E111" s="32"/>
      <c r="F111" s="32"/>
    </row>
    <row r="112" spans="1:6" ht="20.399999999999999" x14ac:dyDescent="0.3">
      <c r="A112" s="22"/>
      <c r="B112" s="5"/>
      <c r="C112" s="32"/>
      <c r="D112" s="32"/>
      <c r="E112" s="32"/>
      <c r="F112" s="32"/>
    </row>
    <row r="113" spans="1:6" ht="20.399999999999999" x14ac:dyDescent="0.3">
      <c r="A113" s="22"/>
      <c r="B113" s="5"/>
      <c r="C113" s="32"/>
      <c r="D113" s="32"/>
      <c r="E113" s="32"/>
      <c r="F113" s="32"/>
    </row>
    <row r="114" spans="1:6" ht="20.399999999999999" x14ac:dyDescent="0.3">
      <c r="A114" s="22"/>
      <c r="B114" s="5"/>
      <c r="C114" s="32"/>
      <c r="D114" s="32"/>
      <c r="E114" s="32"/>
      <c r="F114" s="32"/>
    </row>
    <row r="115" spans="1:6" ht="20.399999999999999" x14ac:dyDescent="0.3">
      <c r="A115" s="22"/>
      <c r="B115" s="5"/>
      <c r="C115" s="32"/>
      <c r="D115" s="32"/>
      <c r="E115" s="32"/>
      <c r="F115" s="32"/>
    </row>
    <row r="116" spans="1:6" ht="20.399999999999999" x14ac:dyDescent="0.3">
      <c r="A116" s="22"/>
      <c r="B116" s="5"/>
      <c r="C116" s="32"/>
      <c r="D116" s="32"/>
      <c r="E116" s="32"/>
      <c r="F116" s="32"/>
    </row>
    <row r="117" spans="1:6" ht="20.399999999999999" x14ac:dyDescent="0.3">
      <c r="A117" s="22"/>
      <c r="B117" s="5"/>
      <c r="C117" s="32"/>
      <c r="D117" s="32"/>
      <c r="E117" s="32"/>
      <c r="F117" s="32"/>
    </row>
    <row r="118" spans="1:6" ht="20.399999999999999" x14ac:dyDescent="0.3">
      <c r="A118" s="22"/>
      <c r="B118" s="5"/>
      <c r="C118" s="32"/>
      <c r="D118" s="32"/>
      <c r="E118" s="32"/>
      <c r="F118" s="32"/>
    </row>
    <row r="119" spans="1:6" ht="20.399999999999999" x14ac:dyDescent="0.3">
      <c r="A119" s="22"/>
      <c r="B119" s="5"/>
      <c r="C119" s="32"/>
      <c r="D119" s="32"/>
      <c r="E119" s="32"/>
      <c r="F119" s="32"/>
    </row>
    <row r="120" spans="1:6" ht="20.399999999999999" x14ac:dyDescent="0.3">
      <c r="A120" s="22"/>
      <c r="B120" s="5"/>
      <c r="C120" s="32"/>
      <c r="D120" s="32"/>
      <c r="E120" s="32"/>
      <c r="F120" s="32"/>
    </row>
    <row r="121" spans="1:6" ht="20.399999999999999" x14ac:dyDescent="0.3">
      <c r="A121" s="22"/>
      <c r="B121" s="5"/>
      <c r="C121" s="32"/>
      <c r="D121" s="32"/>
      <c r="E121" s="32"/>
      <c r="F121" s="32"/>
    </row>
    <row r="122" spans="1:6" ht="20.399999999999999" x14ac:dyDescent="0.3">
      <c r="A122" s="22"/>
      <c r="B122" s="5"/>
      <c r="C122" s="32"/>
      <c r="D122" s="32"/>
      <c r="E122" s="32"/>
      <c r="F122" s="32"/>
    </row>
    <row r="123" spans="1:6" ht="20.399999999999999" x14ac:dyDescent="0.3">
      <c r="A123" s="22"/>
      <c r="B123" s="5"/>
      <c r="C123" s="32"/>
      <c r="D123" s="32"/>
      <c r="E123" s="32"/>
      <c r="F123" s="32"/>
    </row>
    <row r="124" spans="1:6" ht="20.399999999999999" x14ac:dyDescent="0.3">
      <c r="A124" s="22"/>
      <c r="B124" s="5"/>
      <c r="C124" s="32"/>
      <c r="D124" s="32"/>
      <c r="E124" s="32"/>
      <c r="F124" s="32"/>
    </row>
    <row r="125" spans="1:6" ht="20.399999999999999" x14ac:dyDescent="0.3">
      <c r="A125" s="22"/>
      <c r="B125" s="5"/>
      <c r="C125" s="32"/>
      <c r="D125" s="32"/>
      <c r="E125" s="32"/>
      <c r="F125" s="32"/>
    </row>
    <row r="126" spans="1:6" ht="20.399999999999999" x14ac:dyDescent="0.3">
      <c r="A126" s="22"/>
      <c r="B126" s="5"/>
      <c r="C126" s="32"/>
      <c r="D126" s="32"/>
      <c r="E126" s="32"/>
      <c r="F126" s="32"/>
    </row>
    <row r="127" spans="1:6" ht="20.399999999999999" x14ac:dyDescent="0.3">
      <c r="A127" s="22"/>
      <c r="B127" s="5"/>
      <c r="C127" s="32"/>
      <c r="D127" s="32"/>
      <c r="E127" s="32"/>
      <c r="F127" s="32"/>
    </row>
    <row r="128" spans="1:6" ht="20.399999999999999" x14ac:dyDescent="0.3">
      <c r="A128" s="22"/>
      <c r="B128" s="5"/>
      <c r="C128" s="32"/>
      <c r="D128" s="32"/>
      <c r="E128" s="32"/>
      <c r="F128" s="32"/>
    </row>
    <row r="129" spans="1:6" ht="20.399999999999999" x14ac:dyDescent="0.3">
      <c r="A129" s="22"/>
      <c r="B129" s="5"/>
      <c r="C129" s="32"/>
      <c r="D129" s="32"/>
      <c r="E129" s="32"/>
      <c r="F129" s="32"/>
    </row>
    <row r="130" spans="1:6" ht="20.399999999999999" x14ac:dyDescent="0.3">
      <c r="A130" s="22"/>
      <c r="B130" s="5"/>
      <c r="C130" s="32"/>
      <c r="D130" s="32"/>
      <c r="E130" s="32"/>
      <c r="F130" s="32"/>
    </row>
    <row r="131" spans="1:6" ht="20.399999999999999" x14ac:dyDescent="0.3">
      <c r="A131" s="22"/>
      <c r="B131" s="5"/>
      <c r="C131" s="32"/>
      <c r="D131" s="32"/>
      <c r="E131" s="32"/>
      <c r="F131" s="32"/>
    </row>
    <row r="132" spans="1:6" ht="20.399999999999999" x14ac:dyDescent="0.3">
      <c r="A132" s="22"/>
      <c r="B132" s="5"/>
      <c r="C132" s="32"/>
      <c r="D132" s="32"/>
      <c r="E132" s="32"/>
      <c r="F132" s="32"/>
    </row>
    <row r="133" spans="1:6" ht="20.399999999999999" x14ac:dyDescent="0.3">
      <c r="A133" s="22"/>
      <c r="B133" s="5"/>
      <c r="C133" s="32"/>
      <c r="D133" s="32"/>
      <c r="E133" s="32"/>
      <c r="F133" s="32"/>
    </row>
    <row r="134" spans="1:6" ht="20.399999999999999" x14ac:dyDescent="0.3">
      <c r="A134" s="22"/>
      <c r="B134" s="5"/>
      <c r="C134" s="32"/>
      <c r="D134" s="32"/>
      <c r="E134" s="32"/>
      <c r="F134" s="32"/>
    </row>
    <row r="135" spans="1:6" ht="20.399999999999999" x14ac:dyDescent="0.3">
      <c r="A135" s="22"/>
      <c r="B135" s="5"/>
      <c r="C135" s="32"/>
      <c r="D135" s="32"/>
      <c r="E135" s="32"/>
      <c r="F135" s="32"/>
    </row>
    <row r="136" spans="1:6" ht="20.399999999999999" x14ac:dyDescent="0.3">
      <c r="A136" s="22"/>
      <c r="B136" s="5"/>
      <c r="C136" s="32"/>
      <c r="D136" s="32"/>
      <c r="E136" s="32"/>
      <c r="F136" s="32"/>
    </row>
    <row r="137" spans="1:6" ht="20.399999999999999" x14ac:dyDescent="0.3">
      <c r="A137" s="22"/>
      <c r="B137" s="5"/>
      <c r="C137" s="32"/>
      <c r="D137" s="32"/>
      <c r="E137" s="32"/>
      <c r="F137" s="32"/>
    </row>
    <row r="138" spans="1:6" ht="20.399999999999999" x14ac:dyDescent="0.3">
      <c r="A138" s="22"/>
      <c r="B138" s="5"/>
      <c r="C138" s="32"/>
      <c r="D138" s="32"/>
      <c r="E138" s="32"/>
      <c r="F138" s="32"/>
    </row>
    <row r="139" spans="1:6" ht="20.399999999999999" x14ac:dyDescent="0.3">
      <c r="A139" s="22"/>
      <c r="B139" s="5"/>
      <c r="C139" s="32"/>
      <c r="D139" s="32"/>
      <c r="E139" s="32"/>
      <c r="F139" s="32"/>
    </row>
    <row r="140" spans="1:6" ht="20.399999999999999" x14ac:dyDescent="0.3">
      <c r="A140" s="22"/>
      <c r="B140" s="5"/>
      <c r="C140" s="32"/>
      <c r="D140" s="32"/>
      <c r="E140" s="32"/>
      <c r="F140" s="32"/>
    </row>
    <row r="141" spans="1:6" ht="20.399999999999999" x14ac:dyDescent="0.3">
      <c r="A141" s="22"/>
      <c r="B141" s="5"/>
      <c r="C141" s="32"/>
      <c r="D141" s="32"/>
      <c r="E141" s="32"/>
      <c r="F141" s="32"/>
    </row>
    <row r="142" spans="1:6" ht="20.399999999999999" x14ac:dyDescent="0.3">
      <c r="A142" s="22"/>
      <c r="B142" s="5"/>
      <c r="C142" s="32"/>
      <c r="D142" s="32"/>
      <c r="E142" s="32"/>
      <c r="F142" s="32"/>
    </row>
    <row r="143" spans="1:6" ht="20.399999999999999" x14ac:dyDescent="0.3">
      <c r="A143" s="22"/>
      <c r="B143" s="5"/>
      <c r="C143" s="32"/>
      <c r="D143" s="32"/>
      <c r="E143" s="32"/>
      <c r="F143" s="32"/>
    </row>
    <row r="144" spans="1:6" ht="20.399999999999999" x14ac:dyDescent="0.3">
      <c r="A144" s="22"/>
      <c r="B144" s="5"/>
      <c r="C144" s="32"/>
      <c r="D144" s="32"/>
      <c r="E144" s="32"/>
      <c r="F144" s="32"/>
    </row>
    <row r="145" spans="1:6" ht="20.399999999999999" x14ac:dyDescent="0.3">
      <c r="A145" s="22"/>
      <c r="B145" s="5"/>
      <c r="C145" s="32"/>
      <c r="D145" s="32"/>
      <c r="E145" s="32"/>
      <c r="F145" s="32"/>
    </row>
    <row r="146" spans="1:6" ht="20.399999999999999" x14ac:dyDescent="0.3">
      <c r="A146" s="22"/>
      <c r="B146" s="5"/>
      <c r="C146" s="32"/>
      <c r="D146" s="32"/>
      <c r="E146" s="32"/>
      <c r="F146" s="32"/>
    </row>
    <row r="147" spans="1:6" ht="20.399999999999999" x14ac:dyDescent="0.3">
      <c r="A147" s="22"/>
      <c r="B147" s="5"/>
      <c r="C147" s="32"/>
      <c r="D147" s="32"/>
      <c r="E147" s="32"/>
      <c r="F147" s="32"/>
    </row>
    <row r="148" spans="1:6" ht="20.399999999999999" x14ac:dyDescent="0.3">
      <c r="A148" s="22"/>
      <c r="B148" s="5"/>
      <c r="C148" s="32"/>
      <c r="D148" s="32"/>
      <c r="E148" s="32"/>
      <c r="F148" s="32"/>
    </row>
    <row r="149" spans="1:6" ht="20.399999999999999" x14ac:dyDescent="0.3">
      <c r="A149" s="22"/>
      <c r="B149" s="5"/>
      <c r="C149" s="32"/>
      <c r="D149" s="32"/>
      <c r="E149" s="32"/>
      <c r="F149" s="32"/>
    </row>
    <row r="150" spans="1:6" ht="20.399999999999999" x14ac:dyDescent="0.3">
      <c r="A150" s="22"/>
      <c r="B150" s="5"/>
      <c r="C150" s="32"/>
      <c r="D150" s="32"/>
      <c r="E150" s="32"/>
      <c r="F150" s="32"/>
    </row>
    <row r="151" spans="1:6" ht="20.399999999999999" x14ac:dyDescent="0.3">
      <c r="A151" s="22"/>
      <c r="B151" s="5"/>
      <c r="C151" s="32"/>
      <c r="D151" s="32"/>
      <c r="E151" s="32"/>
      <c r="F151" s="32"/>
    </row>
    <row r="152" spans="1:6" ht="20.399999999999999" x14ac:dyDescent="0.3">
      <c r="A152" s="22"/>
      <c r="B152" s="5"/>
      <c r="C152" s="32"/>
      <c r="D152" s="32"/>
      <c r="E152" s="32"/>
      <c r="F152" s="32"/>
    </row>
    <row r="153" spans="1:6" ht="20.399999999999999" x14ac:dyDescent="0.3">
      <c r="A153" s="22"/>
      <c r="B153" s="5"/>
      <c r="C153" s="32"/>
      <c r="D153" s="32"/>
      <c r="E153" s="32"/>
      <c r="F153" s="32"/>
    </row>
    <row r="154" spans="1:6" ht="20.399999999999999" x14ac:dyDescent="0.3">
      <c r="A154" s="22"/>
      <c r="B154" s="5"/>
      <c r="C154" s="32"/>
      <c r="D154" s="32"/>
      <c r="E154" s="32"/>
      <c r="F154" s="32"/>
    </row>
    <row r="155" spans="1:6" ht="20.399999999999999" x14ac:dyDescent="0.3">
      <c r="A155" s="22"/>
      <c r="B155" s="5"/>
      <c r="C155" s="32"/>
      <c r="D155" s="32"/>
      <c r="E155" s="32"/>
      <c r="F155" s="32"/>
    </row>
    <row r="156" spans="1:6" ht="20.399999999999999" x14ac:dyDescent="0.3">
      <c r="A156" s="22"/>
      <c r="B156" s="5"/>
      <c r="C156" s="32"/>
      <c r="D156" s="32"/>
      <c r="E156" s="32"/>
      <c r="F156" s="32"/>
    </row>
    <row r="157" spans="1:6" ht="20.399999999999999" x14ac:dyDescent="0.3">
      <c r="A157" s="22"/>
      <c r="B157" s="5"/>
      <c r="C157" s="32"/>
      <c r="D157" s="32"/>
      <c r="E157" s="32"/>
      <c r="F157" s="32"/>
    </row>
    <row r="158" spans="1:6" ht="20.399999999999999" x14ac:dyDescent="0.3">
      <c r="A158" s="22"/>
      <c r="B158" s="5"/>
      <c r="C158" s="32"/>
      <c r="D158" s="32"/>
      <c r="E158" s="32"/>
      <c r="F158" s="32"/>
    </row>
    <row r="159" spans="1:6" ht="20.399999999999999" x14ac:dyDescent="0.3">
      <c r="A159" s="22"/>
      <c r="B159" s="5"/>
      <c r="C159" s="32"/>
      <c r="D159" s="32"/>
      <c r="E159" s="32"/>
      <c r="F159" s="32"/>
    </row>
    <row r="160" spans="1:6" ht="20.399999999999999" x14ac:dyDescent="0.3">
      <c r="A160" s="22"/>
      <c r="B160" s="5"/>
      <c r="C160" s="32"/>
      <c r="D160" s="32"/>
      <c r="E160" s="32"/>
      <c r="F160" s="32"/>
    </row>
    <row r="161" spans="1:6" ht="20.399999999999999" x14ac:dyDescent="0.3">
      <c r="A161" s="22"/>
      <c r="B161" s="5"/>
      <c r="C161" s="32"/>
      <c r="D161" s="32"/>
      <c r="E161" s="32"/>
      <c r="F161" s="32"/>
    </row>
    <row r="162" spans="1:6" ht="20.399999999999999" x14ac:dyDescent="0.3">
      <c r="A162" s="22"/>
      <c r="B162" s="5"/>
      <c r="C162" s="32"/>
      <c r="D162" s="32"/>
      <c r="E162" s="32"/>
      <c r="F162" s="32"/>
    </row>
    <row r="163" spans="1:6" ht="20.399999999999999" x14ac:dyDescent="0.3">
      <c r="A163" s="22"/>
      <c r="B163" s="5"/>
      <c r="C163" s="32"/>
      <c r="D163" s="32"/>
      <c r="E163" s="32"/>
      <c r="F163" s="32"/>
    </row>
    <row r="164" spans="1:6" ht="20.399999999999999" x14ac:dyDescent="0.3">
      <c r="A164" s="22"/>
      <c r="B164" s="5"/>
      <c r="C164" s="32"/>
      <c r="D164" s="32"/>
      <c r="E164" s="32"/>
      <c r="F164" s="32"/>
    </row>
    <row r="165" spans="1:6" ht="20.399999999999999" x14ac:dyDescent="0.3">
      <c r="A165" s="22"/>
      <c r="B165" s="5"/>
      <c r="C165" s="32"/>
      <c r="D165" s="32"/>
      <c r="E165" s="32"/>
      <c r="F165" s="32"/>
    </row>
    <row r="166" spans="1:6" ht="20.399999999999999" x14ac:dyDescent="0.3">
      <c r="A166" s="22"/>
      <c r="B166" s="5"/>
      <c r="C166" s="32"/>
      <c r="D166" s="32"/>
      <c r="E166" s="32"/>
      <c r="F166" s="32"/>
    </row>
    <row r="167" spans="1:6" ht="20.399999999999999" x14ac:dyDescent="0.3">
      <c r="A167" s="22"/>
      <c r="B167" s="5"/>
      <c r="C167" s="32"/>
      <c r="D167" s="32"/>
      <c r="E167" s="32"/>
      <c r="F167" s="32"/>
    </row>
    <row r="168" spans="1:6" ht="20.399999999999999" x14ac:dyDescent="0.3">
      <c r="A168" s="22"/>
      <c r="B168" s="5"/>
      <c r="C168" s="32"/>
      <c r="D168" s="32"/>
      <c r="E168" s="32"/>
      <c r="F168" s="32"/>
    </row>
    <row r="169" spans="1:6" ht="20.399999999999999" x14ac:dyDescent="0.3">
      <c r="A169" s="22"/>
      <c r="B169" s="5"/>
      <c r="C169" s="32"/>
      <c r="D169" s="32"/>
      <c r="E169" s="32"/>
      <c r="F169" s="32"/>
    </row>
    <row r="170" spans="1:6" ht="20.399999999999999" x14ac:dyDescent="0.3">
      <c r="A170" s="22"/>
      <c r="B170" s="5"/>
      <c r="C170" s="32"/>
      <c r="D170" s="32"/>
      <c r="E170" s="32"/>
      <c r="F170" s="32"/>
    </row>
    <row r="171" spans="1:6" ht="20.399999999999999" x14ac:dyDescent="0.3">
      <c r="A171" s="22"/>
      <c r="B171" s="5"/>
      <c r="C171" s="32"/>
      <c r="D171" s="32"/>
      <c r="E171" s="32"/>
      <c r="F171" s="32"/>
    </row>
    <row r="172" spans="1:6" ht="20.399999999999999" x14ac:dyDescent="0.3">
      <c r="A172" s="22"/>
      <c r="B172" s="5"/>
      <c r="C172" s="32"/>
      <c r="D172" s="32"/>
      <c r="E172" s="32"/>
      <c r="F172" s="32"/>
    </row>
    <row r="173" spans="1:6" ht="20.399999999999999" x14ac:dyDescent="0.3">
      <c r="A173" s="22"/>
      <c r="B173" s="5"/>
      <c r="C173" s="32"/>
      <c r="D173" s="32"/>
      <c r="E173" s="32"/>
      <c r="F173" s="32"/>
    </row>
    <row r="174" spans="1:6" ht="20.399999999999999" x14ac:dyDescent="0.3">
      <c r="A174" s="22"/>
      <c r="B174" s="5"/>
      <c r="C174" s="32"/>
      <c r="D174" s="32"/>
      <c r="E174" s="32"/>
      <c r="F174" s="32"/>
    </row>
    <row r="175" spans="1:6" ht="20.399999999999999" x14ac:dyDescent="0.3">
      <c r="A175" s="22"/>
      <c r="B175" s="5"/>
      <c r="C175" s="32"/>
      <c r="D175" s="32"/>
      <c r="E175" s="32"/>
      <c r="F175" s="32"/>
    </row>
    <row r="176" spans="1:6" x14ac:dyDescent="0.3">
      <c r="A176" s="8"/>
      <c r="B176" s="5"/>
      <c r="C176" s="5"/>
      <c r="D176" s="5"/>
      <c r="E176" s="5"/>
      <c r="F176" s="5"/>
    </row>
    <row r="177" spans="1:10" ht="20.399999999999999" x14ac:dyDescent="0.3">
      <c r="A177" s="8"/>
      <c r="B177" s="33" t="s">
        <v>495</v>
      </c>
      <c r="C177" s="33" t="s">
        <v>496</v>
      </c>
      <c r="D177" s="33"/>
      <c r="E177" s="33"/>
      <c r="F177" t="s">
        <v>495</v>
      </c>
      <c r="G177" t="s">
        <v>496</v>
      </c>
    </row>
    <row r="178" spans="1:10" ht="21" x14ac:dyDescent="0.4">
      <c r="A178" s="8"/>
      <c r="B178" s="34" t="s">
        <v>497</v>
      </c>
      <c r="C178" s="34" t="s">
        <v>498</v>
      </c>
      <c r="D178" s="34"/>
      <c r="E178" s="34"/>
      <c r="F178" t="s">
        <v>497</v>
      </c>
      <c r="H178" t="str">
        <f>IF(NOT(ISBLANK(F178)),F178,IF(NOT(ISBLANK(G178)),"     "&amp;G178,FALSE))</f>
        <v>Afectación Económica o presupuestal</v>
      </c>
      <c r="I178" t="s">
        <v>497</v>
      </c>
      <c r="J178" t="str">
        <f>IF(NOT(ISERROR(MATCH(I178,_xlfn.ANCHORARRAY(B189),0))),H191&amp;"Por favor no seleccionar los criterios de impacto",I178)</f>
        <v>❌Por favor no seleccionar los criterios de impacto</v>
      </c>
    </row>
    <row r="179" spans="1:10" ht="21" x14ac:dyDescent="0.4">
      <c r="A179" s="8"/>
      <c r="B179" s="34" t="s">
        <v>497</v>
      </c>
      <c r="C179" s="34" t="s">
        <v>499</v>
      </c>
      <c r="D179" s="34"/>
      <c r="E179" s="34"/>
      <c r="G179" t="s">
        <v>498</v>
      </c>
      <c r="H179" t="str">
        <f t="shared" ref="H179:H189" si="0">IF(NOT(ISBLANK(F179)),F179,IF(NOT(ISBLANK(G179)),"     "&amp;G179,FALSE))</f>
        <v xml:space="preserve">     Afectación menor a 10 SMLMV .</v>
      </c>
    </row>
    <row r="180" spans="1:10" ht="21" x14ac:dyDescent="0.4">
      <c r="A180" s="8"/>
      <c r="B180" s="34" t="s">
        <v>497</v>
      </c>
      <c r="C180" s="34" t="s">
        <v>500</v>
      </c>
      <c r="D180" s="34"/>
      <c r="E180" s="34"/>
      <c r="G180" t="s">
        <v>499</v>
      </c>
      <c r="H180" t="str">
        <f t="shared" si="0"/>
        <v xml:space="preserve">     Entre 10 y 50 SMLMV </v>
      </c>
    </row>
    <row r="181" spans="1:10" ht="21" x14ac:dyDescent="0.4">
      <c r="A181" s="8"/>
      <c r="B181" s="34" t="s">
        <v>497</v>
      </c>
      <c r="C181" s="34" t="s">
        <v>501</v>
      </c>
      <c r="D181" s="34"/>
      <c r="E181" s="34"/>
      <c r="G181" t="s">
        <v>500</v>
      </c>
      <c r="H181" t="str">
        <f t="shared" si="0"/>
        <v xml:space="preserve">     Entre 50 y 100 SMLMV </v>
      </c>
    </row>
    <row r="182" spans="1:10" ht="21" x14ac:dyDescent="0.4">
      <c r="A182" s="8"/>
      <c r="B182" s="34" t="s">
        <v>497</v>
      </c>
      <c r="C182" s="34" t="s">
        <v>502</v>
      </c>
      <c r="D182" s="34"/>
      <c r="E182" s="34"/>
      <c r="G182" t="s">
        <v>501</v>
      </c>
      <c r="H182" t="str">
        <f t="shared" si="0"/>
        <v xml:space="preserve">     Entre 100 y 500 SMLMV </v>
      </c>
    </row>
    <row r="183" spans="1:10" ht="21" x14ac:dyDescent="0.4">
      <c r="A183" s="8"/>
      <c r="B183" s="34" t="s">
        <v>503</v>
      </c>
      <c r="C183" s="34" t="s">
        <v>504</v>
      </c>
      <c r="D183" s="34"/>
      <c r="E183" s="34"/>
      <c r="G183" t="s">
        <v>502</v>
      </c>
      <c r="H183" t="str">
        <f t="shared" si="0"/>
        <v xml:space="preserve">     Mayor a 500 SMLMV </v>
      </c>
    </row>
    <row r="184" spans="1:10" ht="21" x14ac:dyDescent="0.4">
      <c r="A184" s="8"/>
      <c r="B184" s="34" t="s">
        <v>503</v>
      </c>
      <c r="C184" s="34" t="s">
        <v>505</v>
      </c>
      <c r="D184" s="34"/>
      <c r="E184" s="34"/>
      <c r="F184" t="s">
        <v>503</v>
      </c>
      <c r="H184" t="str">
        <f t="shared" si="0"/>
        <v>Pérdida Reputacional</v>
      </c>
    </row>
    <row r="185" spans="1:10" ht="21" x14ac:dyDescent="0.4">
      <c r="A185" s="8"/>
      <c r="B185" s="34" t="s">
        <v>503</v>
      </c>
      <c r="C185" s="34" t="s">
        <v>506</v>
      </c>
      <c r="D185" s="34"/>
      <c r="E185" s="34"/>
      <c r="G185" t="s">
        <v>504</v>
      </c>
      <c r="H185" t="str">
        <f t="shared" si="0"/>
        <v xml:space="preserve">     El riesgo afecta la imagen de alguna área de la organización</v>
      </c>
    </row>
    <row r="186" spans="1:10" ht="21" x14ac:dyDescent="0.4">
      <c r="A186" s="8"/>
      <c r="B186" s="34" t="s">
        <v>503</v>
      </c>
      <c r="C186" s="34" t="s">
        <v>507</v>
      </c>
      <c r="D186" s="34"/>
      <c r="E186" s="34"/>
      <c r="G186" t="s">
        <v>505</v>
      </c>
      <c r="H186" t="str">
        <f t="shared" si="0"/>
        <v xml:space="preserve">     El riesgo afecta la imagen de la entidad internamente, de conocimiento general, nivel interno, de junta dircetiva y accionistas y/o de provedores</v>
      </c>
    </row>
    <row r="187" spans="1:10" ht="21" x14ac:dyDescent="0.4">
      <c r="A187" s="8"/>
      <c r="B187" s="34" t="s">
        <v>503</v>
      </c>
      <c r="C187" s="34" t="s">
        <v>508</v>
      </c>
      <c r="D187" s="34"/>
      <c r="E187" s="34"/>
      <c r="G187" t="s">
        <v>506</v>
      </c>
      <c r="H187" t="str">
        <f t="shared" si="0"/>
        <v xml:space="preserve">     El riesgo afecta la imagen de la entidad con algunos usuarios de relevancia frente al logro de los objetivos</v>
      </c>
    </row>
    <row r="188" spans="1:10" x14ac:dyDescent="0.3">
      <c r="A188" s="8"/>
      <c r="B188" s="6"/>
      <c r="C188" s="6"/>
      <c r="D188" s="6"/>
      <c r="E188" s="6"/>
      <c r="G188" t="s">
        <v>507</v>
      </c>
      <c r="H188" t="str">
        <f t="shared" si="0"/>
        <v xml:space="preserve">     El riesgo afecta la imagen de de la entidad con efecto publicitario sostenido a nivel de sector administrativo, nivel departamental o municipal</v>
      </c>
    </row>
    <row r="189" spans="1:10" x14ac:dyDescent="0.3">
      <c r="A189" s="8"/>
      <c r="B189" s="6" t="str">
        <f t="array" ref="B189:B191">_xlfn.UNIQUE(Tabla13[[#All],[Criterios]])</f>
        <v>Criterios</v>
      </c>
      <c r="C189" s="6"/>
      <c r="D189" s="6"/>
      <c r="E189" s="6"/>
      <c r="G189" t="s">
        <v>508</v>
      </c>
      <c r="H189" t="str">
        <f t="shared" si="0"/>
        <v xml:space="preserve">     El riesgo afecta la imagen de la entidad a nivel nacional, con efecto publicitarios sostenible a nivel país</v>
      </c>
    </row>
    <row r="190" spans="1:10" x14ac:dyDescent="0.3">
      <c r="A190" s="8"/>
      <c r="B190" s="6" t="str">
        <v>Afectación Económica o presupuestal</v>
      </c>
      <c r="C190" s="6"/>
      <c r="D190" s="6"/>
      <c r="E190" s="6"/>
    </row>
    <row r="191" spans="1:10" x14ac:dyDescent="0.3">
      <c r="B191" s="6" t="str">
        <v>Pérdida Reputacional</v>
      </c>
      <c r="C191" s="6"/>
      <c r="D191" s="6"/>
      <c r="E191" s="6"/>
      <c r="H191" s="7" t="s">
        <v>509</v>
      </c>
    </row>
    <row r="192" spans="1:10" x14ac:dyDescent="0.3">
      <c r="B192" s="4"/>
      <c r="C192" s="4"/>
      <c r="D192" s="4"/>
      <c r="E192" s="4"/>
      <c r="H192" s="7" t="s">
        <v>510</v>
      </c>
    </row>
    <row r="193" spans="2:6" x14ac:dyDescent="0.3">
      <c r="B193" s="4"/>
      <c r="C193" s="4"/>
      <c r="D193" s="4"/>
      <c r="E193" s="4"/>
    </row>
    <row r="194" spans="2:6" x14ac:dyDescent="0.3">
      <c r="B194" s="4"/>
      <c r="C194" s="4"/>
      <c r="D194" s="4"/>
      <c r="E194" s="4"/>
    </row>
    <row r="195" spans="2:6" x14ac:dyDescent="0.3">
      <c r="B195" s="4"/>
      <c r="C195" s="4"/>
      <c r="D195" s="4"/>
      <c r="E195" s="4"/>
      <c r="F195" s="4"/>
    </row>
    <row r="196" spans="2:6" x14ac:dyDescent="0.3">
      <c r="B196" s="4"/>
      <c r="C196" s="4"/>
      <c r="D196" s="4"/>
      <c r="E196" s="4"/>
      <c r="F196" s="4"/>
    </row>
    <row r="197" spans="2:6" x14ac:dyDescent="0.3">
      <c r="B197" s="4"/>
      <c r="C197" s="4"/>
      <c r="D197" s="4"/>
      <c r="E197" s="4"/>
      <c r="F197" s="4"/>
    </row>
    <row r="198" spans="2:6" x14ac:dyDescent="0.3">
      <c r="B198" s="4"/>
      <c r="C198" s="4"/>
      <c r="D198" s="4"/>
      <c r="E198" s="4"/>
      <c r="F198" s="4"/>
    </row>
    <row r="199" spans="2:6" x14ac:dyDescent="0.3">
      <c r="B199" s="4"/>
      <c r="C199" s="4"/>
      <c r="D199" s="4"/>
      <c r="E199" s="4"/>
      <c r="F199" s="4"/>
    </row>
    <row r="200" spans="2:6" x14ac:dyDescent="0.3">
      <c r="B200" s="4"/>
      <c r="C200" s="4"/>
      <c r="D200" s="4"/>
      <c r="E200" s="4"/>
      <c r="F200" s="4"/>
    </row>
  </sheetData>
  <mergeCells count="1">
    <mergeCell ref="B3:E3"/>
  </mergeCells>
  <dataValidations count="1">
    <dataValidation type="list" allowBlank="1" showInputMessage="1" showErrorMessage="1" sqref="I178" xr:uid="{00000000-0002-0000-0500-000000000000}">
      <formula1>$H$178:$H$189</formula1>
    </dataValidation>
  </dataValidations>
  <pageMargins left="0.7" right="0.7" top="0.75" bottom="0.75" header="0.3" footer="0.3"/>
  <pageSetup orientation="portrait"/>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topLeftCell="A2" workbookViewId="0">
      <selection activeCell="A19" sqref="A19:XFD19"/>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502" t="s">
        <v>511</v>
      </c>
      <c r="C1" s="503"/>
      <c r="D1" s="503"/>
      <c r="E1" s="503"/>
      <c r="F1" s="504"/>
    </row>
    <row r="2" spans="2:6" ht="16.2" thickBot="1" x14ac:dyDescent="0.35">
      <c r="B2" s="10"/>
      <c r="C2" s="10"/>
      <c r="D2" s="10"/>
      <c r="E2" s="10"/>
      <c r="F2" s="10"/>
    </row>
    <row r="3" spans="2:6" ht="16.2" thickBot="1" x14ac:dyDescent="0.35">
      <c r="B3" s="506" t="s">
        <v>512</v>
      </c>
      <c r="C3" s="507"/>
      <c r="D3" s="507"/>
      <c r="E3" s="35" t="s">
        <v>493</v>
      </c>
      <c r="F3" s="36" t="s">
        <v>513</v>
      </c>
    </row>
    <row r="4" spans="2:6" ht="31.2" x14ac:dyDescent="0.3">
      <c r="B4" s="508" t="s">
        <v>514</v>
      </c>
      <c r="C4" s="510" t="s">
        <v>108</v>
      </c>
      <c r="D4" s="11" t="s">
        <v>137</v>
      </c>
      <c r="E4" s="12" t="s">
        <v>515</v>
      </c>
      <c r="F4" s="13">
        <v>0.25</v>
      </c>
    </row>
    <row r="5" spans="2:6" ht="46.8" x14ac:dyDescent="0.3">
      <c r="B5" s="509"/>
      <c r="C5" s="511"/>
      <c r="D5" s="14" t="s">
        <v>128</v>
      </c>
      <c r="E5" s="15" t="s">
        <v>516</v>
      </c>
      <c r="F5" s="16">
        <v>0.15</v>
      </c>
    </row>
    <row r="6" spans="2:6" ht="46.8" x14ac:dyDescent="0.3">
      <c r="B6" s="509"/>
      <c r="C6" s="511"/>
      <c r="D6" s="14" t="s">
        <v>152</v>
      </c>
      <c r="E6" s="15" t="s">
        <v>517</v>
      </c>
      <c r="F6" s="16">
        <v>0.1</v>
      </c>
    </row>
    <row r="7" spans="2:6" ht="15.6" hidden="1" x14ac:dyDescent="0.3">
      <c r="B7" s="509"/>
      <c r="C7" s="14"/>
      <c r="D7" s="14" t="s">
        <v>168</v>
      </c>
      <c r="E7" s="15"/>
      <c r="F7" s="16"/>
    </row>
    <row r="8" spans="2:6" ht="62.4" x14ac:dyDescent="0.3">
      <c r="B8" s="509"/>
      <c r="C8" s="511" t="s">
        <v>109</v>
      </c>
      <c r="D8" s="14" t="s">
        <v>389</v>
      </c>
      <c r="E8" s="15" t="s">
        <v>518</v>
      </c>
      <c r="F8" s="16">
        <v>0.25</v>
      </c>
    </row>
    <row r="9" spans="2:6" ht="31.2" x14ac:dyDescent="0.3">
      <c r="B9" s="509"/>
      <c r="C9" s="511"/>
      <c r="D9" s="14" t="s">
        <v>129</v>
      </c>
      <c r="E9" s="15" t="s">
        <v>519</v>
      </c>
      <c r="F9" s="16">
        <v>0.15</v>
      </c>
    </row>
    <row r="10" spans="2:6" ht="15.6" hidden="1" x14ac:dyDescent="0.3">
      <c r="B10" s="29"/>
      <c r="C10" s="14"/>
      <c r="D10" s="14" t="s">
        <v>168</v>
      </c>
      <c r="E10" s="15"/>
      <c r="F10" s="16"/>
    </row>
    <row r="11" spans="2:6" ht="46.8" x14ac:dyDescent="0.3">
      <c r="B11" s="509" t="s">
        <v>520</v>
      </c>
      <c r="C11" s="511" t="s">
        <v>111</v>
      </c>
      <c r="D11" s="14" t="s">
        <v>162</v>
      </c>
      <c r="E11" s="15" t="s">
        <v>521</v>
      </c>
      <c r="F11" s="17" t="s">
        <v>522</v>
      </c>
    </row>
    <row r="12" spans="2:6" ht="46.8" x14ac:dyDescent="0.3">
      <c r="B12" s="509"/>
      <c r="C12" s="511"/>
      <c r="D12" s="14" t="s">
        <v>130</v>
      </c>
      <c r="E12" s="15" t="s">
        <v>523</v>
      </c>
      <c r="F12" s="17" t="s">
        <v>522</v>
      </c>
    </row>
    <row r="13" spans="2:6" ht="15.6" x14ac:dyDescent="0.3">
      <c r="B13" s="509"/>
      <c r="C13" s="14"/>
      <c r="D13" s="14" t="s">
        <v>168</v>
      </c>
      <c r="E13" s="15"/>
      <c r="F13" s="17"/>
    </row>
    <row r="14" spans="2:6" ht="46.8" x14ac:dyDescent="0.3">
      <c r="B14" s="509"/>
      <c r="C14" s="511" t="s">
        <v>112</v>
      </c>
      <c r="D14" s="14" t="s">
        <v>131</v>
      </c>
      <c r="E14" s="15" t="s">
        <v>524</v>
      </c>
      <c r="F14" s="17" t="s">
        <v>522</v>
      </c>
    </row>
    <row r="15" spans="2:6" ht="46.8" x14ac:dyDescent="0.3">
      <c r="B15" s="509"/>
      <c r="C15" s="511"/>
      <c r="D15" s="14" t="s">
        <v>147</v>
      </c>
      <c r="E15" s="15" t="s">
        <v>525</v>
      </c>
      <c r="F15" s="17" t="s">
        <v>522</v>
      </c>
    </row>
    <row r="16" spans="2:6" ht="15.6" hidden="1" x14ac:dyDescent="0.3">
      <c r="B16" s="509"/>
      <c r="C16" s="14"/>
      <c r="D16" s="14" t="s">
        <v>168</v>
      </c>
      <c r="E16" s="15"/>
      <c r="F16" s="17"/>
    </row>
    <row r="17" spans="2:6" ht="31.2" x14ac:dyDescent="0.3">
      <c r="B17" s="509"/>
      <c r="C17" s="511" t="s">
        <v>113</v>
      </c>
      <c r="D17" s="14" t="s">
        <v>132</v>
      </c>
      <c r="E17" s="15" t="s">
        <v>526</v>
      </c>
      <c r="F17" s="17" t="s">
        <v>522</v>
      </c>
    </row>
    <row r="18" spans="2:6" ht="16.2" thickBot="1" x14ac:dyDescent="0.35">
      <c r="B18" s="512"/>
      <c r="C18" s="513"/>
      <c r="D18" s="18" t="s">
        <v>167</v>
      </c>
      <c r="E18" s="19" t="s">
        <v>527</v>
      </c>
      <c r="F18" s="20" t="s">
        <v>522</v>
      </c>
    </row>
    <row r="19" spans="2:6" ht="15.6" hidden="1" x14ac:dyDescent="0.3">
      <c r="B19" s="45"/>
      <c r="C19" s="45"/>
      <c r="D19" s="14" t="s">
        <v>168</v>
      </c>
      <c r="E19" s="46"/>
      <c r="F19" s="47"/>
    </row>
    <row r="20" spans="2:6" ht="49.65" customHeight="1" x14ac:dyDescent="0.3">
      <c r="B20" s="505" t="s">
        <v>528</v>
      </c>
      <c r="C20" s="505"/>
      <c r="D20" s="505"/>
      <c r="E20" s="505"/>
      <c r="F20" s="505"/>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4"/>
  <sheetViews>
    <sheetView topLeftCell="A6" workbookViewId="0">
      <selection activeCell="B12" sqref="B12:B17"/>
    </sheetView>
  </sheetViews>
  <sheetFormatPr baseColWidth="10" defaultColWidth="11.44140625" defaultRowHeight="14.4" x14ac:dyDescent="0.3"/>
  <cols>
    <col min="2" max="2" width="24" customWidth="1"/>
    <col min="3" max="3" width="23.44140625" customWidth="1"/>
    <col min="4" max="4" width="24.33203125" customWidth="1"/>
    <col min="5" max="6" width="16.88671875" customWidth="1"/>
  </cols>
  <sheetData>
    <row r="2" spans="2:6" x14ac:dyDescent="0.3">
      <c r="B2" t="s">
        <v>529</v>
      </c>
      <c r="E2" t="s">
        <v>530</v>
      </c>
    </row>
    <row r="3" spans="2:6" x14ac:dyDescent="0.3">
      <c r="B3" t="s">
        <v>531</v>
      </c>
      <c r="E3" t="s">
        <v>532</v>
      </c>
    </row>
    <row r="4" spans="2:6" x14ac:dyDescent="0.3">
      <c r="B4" t="s">
        <v>533</v>
      </c>
      <c r="E4" t="s">
        <v>534</v>
      </c>
    </row>
    <row r="5" spans="2:6" x14ac:dyDescent="0.3">
      <c r="B5" t="s">
        <v>134</v>
      </c>
    </row>
    <row r="8" spans="2:6" x14ac:dyDescent="0.3">
      <c r="B8" t="s">
        <v>535</v>
      </c>
      <c r="E8" t="s">
        <v>93</v>
      </c>
      <c r="F8" t="s">
        <v>536</v>
      </c>
    </row>
    <row r="9" spans="2:6" x14ac:dyDescent="0.3">
      <c r="B9" t="s">
        <v>537</v>
      </c>
      <c r="E9" t="s">
        <v>486</v>
      </c>
      <c r="F9" t="s">
        <v>538</v>
      </c>
    </row>
    <row r="10" spans="2:6" x14ac:dyDescent="0.3">
      <c r="B10" t="s">
        <v>539</v>
      </c>
      <c r="E10" t="s">
        <v>332</v>
      </c>
      <c r="F10" t="s">
        <v>494</v>
      </c>
    </row>
    <row r="11" spans="2:6" x14ac:dyDescent="0.3">
      <c r="E11" t="s">
        <v>206</v>
      </c>
      <c r="F11" t="s">
        <v>125</v>
      </c>
    </row>
    <row r="12" spans="2:6" x14ac:dyDescent="0.3">
      <c r="B12" s="122" t="s">
        <v>657</v>
      </c>
      <c r="E12" t="s">
        <v>124</v>
      </c>
      <c r="F12" t="s">
        <v>145</v>
      </c>
    </row>
    <row r="13" spans="2:6" x14ac:dyDescent="0.3">
      <c r="B13" s="123" t="s">
        <v>658</v>
      </c>
      <c r="E13" t="s">
        <v>287</v>
      </c>
      <c r="F13" t="s">
        <v>160</v>
      </c>
    </row>
    <row r="14" spans="2:6" x14ac:dyDescent="0.3">
      <c r="B14" s="123" t="s">
        <v>659</v>
      </c>
    </row>
    <row r="15" spans="2:6" x14ac:dyDescent="0.3">
      <c r="B15" s="123" t="s">
        <v>660</v>
      </c>
    </row>
    <row r="16" spans="2:6" ht="26.4" x14ac:dyDescent="0.3">
      <c r="B16" s="123" t="s">
        <v>661</v>
      </c>
    </row>
    <row r="17" spans="2:2" ht="26.4" x14ac:dyDescent="0.3">
      <c r="B17" s="123" t="s">
        <v>662</v>
      </c>
    </row>
    <row r="18" spans="2:2" x14ac:dyDescent="0.3">
      <c r="B18" s="27"/>
    </row>
    <row r="19" spans="2:2" x14ac:dyDescent="0.3">
      <c r="B19" s="27"/>
    </row>
    <row r="20" spans="2:2" x14ac:dyDescent="0.3">
      <c r="B20" s="27"/>
    </row>
    <row r="21" spans="2:2" x14ac:dyDescent="0.3">
      <c r="B21" s="27" t="s">
        <v>540</v>
      </c>
    </row>
    <row r="22" spans="2:2" x14ac:dyDescent="0.3">
      <c r="B22" t="s">
        <v>541</v>
      </c>
    </row>
    <row r="23" spans="2:2" x14ac:dyDescent="0.3">
      <c r="B23" t="s">
        <v>542</v>
      </c>
    </row>
    <row r="24" spans="2:2" x14ac:dyDescent="0.3">
      <c r="B24" t="s">
        <v>543</v>
      </c>
    </row>
    <row r="25" spans="2:2" x14ac:dyDescent="0.3">
      <c r="B25" t="s">
        <v>544</v>
      </c>
    </row>
    <row r="26" spans="2:2" x14ac:dyDescent="0.3">
      <c r="B26" t="s">
        <v>545</v>
      </c>
    </row>
    <row r="27" spans="2:2" x14ac:dyDescent="0.3">
      <c r="B27" t="s">
        <v>546</v>
      </c>
    </row>
    <row r="28" spans="2:2" x14ac:dyDescent="0.3">
      <c r="B28" t="s">
        <v>7</v>
      </c>
    </row>
    <row r="29" spans="2:2" x14ac:dyDescent="0.3">
      <c r="B29" t="s">
        <v>547</v>
      </c>
    </row>
    <row r="30" spans="2:2" x14ac:dyDescent="0.3">
      <c r="B30" t="s">
        <v>548</v>
      </c>
    </row>
    <row r="31" spans="2:2" x14ac:dyDescent="0.3">
      <c r="B31" t="s">
        <v>549</v>
      </c>
    </row>
    <row r="32" spans="2:2" x14ac:dyDescent="0.3">
      <c r="B32" t="s">
        <v>550</v>
      </c>
    </row>
    <row r="33" spans="2:2" x14ac:dyDescent="0.3">
      <c r="B33" t="s">
        <v>551</v>
      </c>
    </row>
    <row r="34" spans="2:2" x14ac:dyDescent="0.3">
      <c r="B34" t="s">
        <v>552</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0.88671875" defaultRowHeight="13.8" x14ac:dyDescent="0.3"/>
  <cols>
    <col min="1" max="1" width="32.88671875" style="1" customWidth="1"/>
    <col min="2" max="16384" width="10.88671875" style="1"/>
  </cols>
  <sheetData>
    <row r="3" spans="1:1" x14ac:dyDescent="0.3">
      <c r="A3" s="2" t="s">
        <v>137</v>
      </c>
    </row>
    <row r="4" spans="1:1" x14ac:dyDescent="0.3">
      <c r="A4" s="2" t="s">
        <v>128</v>
      </c>
    </row>
    <row r="5" spans="1:1" x14ac:dyDescent="0.3">
      <c r="A5" s="2" t="s">
        <v>152</v>
      </c>
    </row>
    <row r="6" spans="1:1" x14ac:dyDescent="0.3">
      <c r="A6" s="2" t="s">
        <v>389</v>
      </c>
    </row>
    <row r="7" spans="1:1" x14ac:dyDescent="0.3">
      <c r="A7" s="2" t="s">
        <v>129</v>
      </c>
    </row>
    <row r="8" spans="1:1" x14ac:dyDescent="0.3">
      <c r="A8" s="2" t="s">
        <v>162</v>
      </c>
    </row>
    <row r="9" spans="1:1" x14ac:dyDescent="0.3">
      <c r="A9" s="2" t="s">
        <v>130</v>
      </c>
    </row>
    <row r="10" spans="1:1" x14ac:dyDescent="0.3">
      <c r="A10" s="2" t="s">
        <v>131</v>
      </c>
    </row>
    <row r="11" spans="1:1" x14ac:dyDescent="0.3">
      <c r="A11" s="2" t="s">
        <v>147</v>
      </c>
    </row>
    <row r="12" spans="1:1" x14ac:dyDescent="0.3">
      <c r="A12" s="2" t="s">
        <v>553</v>
      </c>
    </row>
    <row r="13" spans="1:1" x14ac:dyDescent="0.3">
      <c r="A13" s="2" t="s">
        <v>554</v>
      </c>
    </row>
    <row r="14" spans="1:1" x14ac:dyDescent="0.3">
      <c r="A14" s="2" t="s">
        <v>555</v>
      </c>
    </row>
    <row r="16" spans="1:1" x14ac:dyDescent="0.3">
      <c r="A16" s="2" t="s">
        <v>556</v>
      </c>
    </row>
    <row r="17" spans="1:1" x14ac:dyDescent="0.3">
      <c r="A17" s="2" t="s">
        <v>529</v>
      </c>
    </row>
    <row r="18" spans="1:1" x14ac:dyDescent="0.3">
      <c r="A18" s="2" t="s">
        <v>531</v>
      </c>
    </row>
    <row r="20" spans="1:1" x14ac:dyDescent="0.3">
      <c r="A20" s="2" t="s">
        <v>537</v>
      </c>
    </row>
    <row r="21" spans="1:1" x14ac:dyDescent="0.3">
      <c r="A21" s="2" t="s">
        <v>539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B6860F-CC52-4BE4-9ABA-B0D04E873B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646835-2A36-4BD1-851B-5075BF700AD0}">
  <ds:schemaRefs>
    <ds:schemaRef ds:uri="http://schemas.microsoft.com/office/2006/metadata/properties"/>
    <ds:schemaRef ds:uri="http://schemas.microsoft.com/office/infopath/2007/PartnerControls"/>
    <ds:schemaRef ds:uri="48c77cfc-f926-4e40-878b-a2b4daa011b0"/>
  </ds:schemaRefs>
</ds:datastoreItem>
</file>

<file path=customXml/itemProps3.xml><?xml version="1.0" encoding="utf-8"?>
<ds:datastoreItem xmlns:ds="http://schemas.openxmlformats.org/officeDocument/2006/customXml" ds:itemID="{62F2A5A5-0EEA-4309-B17D-7D2CA2B044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vt:lpstr>
      <vt:lpstr>Tabla Impacto</vt:lpstr>
      <vt:lpstr>Tabla Valoración controles</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Carlos Alberto Benitez Aguirre</cp:lastModifiedBy>
  <cp:revision/>
  <dcterms:created xsi:type="dcterms:W3CDTF">2020-03-24T23:12:47Z</dcterms:created>
  <dcterms:modified xsi:type="dcterms:W3CDTF">2026-07-29T16:17:55Z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