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276" documentId="11_C53F990871F142178A5A2ABBBC4C52C7A2A9DC4A" xr6:coauthVersionLast="47" xr6:coauthVersionMax="47" xr10:uidLastSave="{9DCB9840-1505-4B2E-94B7-4FCB5F7B5837}"/>
  <bookViews>
    <workbookView xWindow="-108" yWindow="-108" windowWidth="23256" windowHeight="12456" tabRatio="597"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state="hidden"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8"/>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0" i="21" l="1"/>
  <c r="AC61" i="21" s="1"/>
  <c r="AA60" i="21"/>
  <c r="Y61" i="21" s="1"/>
  <c r="Z60" i="21"/>
  <c r="Y60" i="21"/>
  <c r="AC55" i="21"/>
  <c r="AC56" i="21" s="1"/>
  <c r="Y55" i="21"/>
  <c r="AA55" i="21" s="1"/>
  <c r="Y56" i="21" s="1"/>
  <c r="T60" i="21"/>
  <c r="Q60" i="21"/>
  <c r="T59" i="21"/>
  <c r="Q59" i="21"/>
  <c r="T56" i="21"/>
  <c r="Q56" i="21"/>
  <c r="AA61" i="21" l="1"/>
  <c r="Y62" i="21" s="1"/>
  <c r="Z61" i="21"/>
  <c r="AB61" i="21"/>
  <c r="AC62" i="21"/>
  <c r="AB62" i="21" s="1"/>
  <c r="AB60" i="21"/>
  <c r="AC57" i="21"/>
  <c r="AB57" i="21" s="1"/>
  <c r="AB56" i="21"/>
  <c r="AA56" i="21"/>
  <c r="Y57" i="21" s="1"/>
  <c r="Z56" i="21"/>
  <c r="AB55" i="21"/>
  <c r="Z55" i="21"/>
  <c r="AA62" i="21" l="1"/>
  <c r="Z62" i="21"/>
  <c r="AA57" i="21"/>
  <c r="Z57" i="21"/>
  <c r="B19" i="26" l="1"/>
  <c r="A19" i="26"/>
  <c r="B18" i="26"/>
  <c r="A18" i="26"/>
  <c r="B17" i="26"/>
  <c r="A17" i="26"/>
  <c r="B16" i="26"/>
  <c r="A16" i="26"/>
  <c r="B15" i="26"/>
  <c r="A15" i="26"/>
  <c r="B14" i="26"/>
  <c r="A14" i="26"/>
  <c r="B13" i="26"/>
  <c r="A13" i="26"/>
  <c r="B12" i="26"/>
  <c r="A12" i="26"/>
  <c r="B11" i="26"/>
  <c r="A11" i="26"/>
  <c r="B10" i="26"/>
  <c r="A10" i="26"/>
  <c r="B9" i="26"/>
  <c r="A9" i="26"/>
  <c r="B8" i="26"/>
  <c r="A8" i="26"/>
  <c r="D19" i="25"/>
  <c r="C19" i="25"/>
  <c r="B19" i="25"/>
  <c r="A19" i="25"/>
  <c r="D18" i="25"/>
  <c r="C18" i="25"/>
  <c r="E18" i="25" s="1"/>
  <c r="B18" i="25"/>
  <c r="A18" i="25"/>
  <c r="D17" i="25"/>
  <c r="C17" i="25"/>
  <c r="B17" i="25"/>
  <c r="A17" i="25"/>
  <c r="D16" i="25"/>
  <c r="C16" i="25"/>
  <c r="B16" i="25"/>
  <c r="A16" i="25"/>
  <c r="D15" i="25"/>
  <c r="C15" i="25"/>
  <c r="E15" i="25" s="1"/>
  <c r="B15" i="25"/>
  <c r="A15" i="25"/>
  <c r="D14" i="25"/>
  <c r="C14" i="25"/>
  <c r="B14" i="25"/>
  <c r="A14" i="25"/>
  <c r="D13" i="25"/>
  <c r="C13" i="25"/>
  <c r="B13" i="25"/>
  <c r="A13" i="25"/>
  <c r="D12" i="25"/>
  <c r="C12" i="25"/>
  <c r="B12" i="25"/>
  <c r="A12" i="25"/>
  <c r="D11" i="25"/>
  <c r="C11" i="25"/>
  <c r="B11" i="25"/>
  <c r="A11" i="25"/>
  <c r="D10" i="25"/>
  <c r="C10" i="25"/>
  <c r="B10" i="25"/>
  <c r="A10" i="25"/>
  <c r="D9" i="25"/>
  <c r="C9" i="25"/>
  <c r="B9" i="25"/>
  <c r="A9" i="25"/>
  <c r="D8" i="25"/>
  <c r="C8" i="25"/>
  <c r="B8" i="25"/>
  <c r="A8" i="25"/>
  <c r="B4" i="28"/>
  <c r="B3" i="27"/>
  <c r="B7" i="26"/>
  <c r="A7" i="26"/>
  <c r="B3" i="26"/>
  <c r="D7" i="25"/>
  <c r="C7" i="25"/>
  <c r="E7" i="25" s="1"/>
  <c r="B7" i="25"/>
  <c r="A7" i="25"/>
  <c r="B3" i="25"/>
  <c r="G26" i="26"/>
  <c r="F26" i="26"/>
  <c r="E26" i="26"/>
  <c r="F25" i="26"/>
  <c r="E25" i="26"/>
  <c r="G25" i="26" s="1"/>
  <c r="F24" i="26"/>
  <c r="E24" i="26"/>
  <c r="G24" i="26" s="1"/>
  <c r="F23" i="26"/>
  <c r="E23" i="26"/>
  <c r="G23" i="26" s="1"/>
  <c r="F22" i="26"/>
  <c r="E22" i="26"/>
  <c r="G22" i="26" s="1"/>
  <c r="G21" i="26"/>
  <c r="F21" i="26"/>
  <c r="E21" i="26"/>
  <c r="F20" i="26"/>
  <c r="E20" i="26"/>
  <c r="G20" i="26" s="1"/>
  <c r="E26" i="25"/>
  <c r="E25" i="25"/>
  <c r="E24" i="25"/>
  <c r="E23" i="25"/>
  <c r="E22" i="25"/>
  <c r="E21" i="25"/>
  <c r="E20" i="25"/>
  <c r="E10" i="25"/>
  <c r="T34" i="21"/>
  <c r="Q34" i="21"/>
  <c r="T33" i="21"/>
  <c r="Q33" i="21"/>
  <c r="T32" i="21"/>
  <c r="Q32" i="21"/>
  <c r="N32" i="21"/>
  <c r="M32" i="21"/>
  <c r="AC32" i="21" s="1"/>
  <c r="AB32" i="21" s="1"/>
  <c r="K32" i="21"/>
  <c r="Y32" i="21" s="1"/>
  <c r="AA32" i="21" s="1"/>
  <c r="E14" i="25" l="1"/>
  <c r="E13" i="25"/>
  <c r="E16" i="25"/>
  <c r="E11" i="25"/>
  <c r="E17" i="25"/>
  <c r="E12" i="25"/>
  <c r="E19" i="25"/>
  <c r="I10" i="25"/>
  <c r="L9" i="25"/>
  <c r="F10" i="27" s="1"/>
  <c r="E9" i="25"/>
  <c r="J10" i="25"/>
  <c r="D11" i="27" s="1"/>
  <c r="I9" i="25"/>
  <c r="C10" i="27" s="1"/>
  <c r="K10" i="25"/>
  <c r="E11" i="27" s="1"/>
  <c r="E8" i="25"/>
  <c r="J9" i="25"/>
  <c r="D10" i="27" s="1"/>
  <c r="L10" i="25"/>
  <c r="F11" i="27" s="1"/>
  <c r="I8" i="25"/>
  <c r="C9" i="27" s="1"/>
  <c r="K9" i="25"/>
  <c r="E10" i="27" s="1"/>
  <c r="M10" i="25"/>
  <c r="G11" i="27" s="1"/>
  <c r="J8" i="25"/>
  <c r="D9" i="27" s="1"/>
  <c r="I7" i="25"/>
  <c r="C8" i="27" s="1"/>
  <c r="K8" i="25"/>
  <c r="E9" i="27" s="1"/>
  <c r="M9" i="25"/>
  <c r="G10" i="27" s="1"/>
  <c r="I11" i="25"/>
  <c r="C12" i="27" s="1"/>
  <c r="J7" i="25"/>
  <c r="D8" i="27" s="1"/>
  <c r="L8" i="25"/>
  <c r="F9" i="27" s="1"/>
  <c r="J11" i="25"/>
  <c r="D12" i="27" s="1"/>
  <c r="K7" i="25"/>
  <c r="E8" i="27" s="1"/>
  <c r="M8" i="25"/>
  <c r="G9" i="27" s="1"/>
  <c r="K11" i="25"/>
  <c r="E12" i="27" s="1"/>
  <c r="L7" i="25"/>
  <c r="F8" i="27" s="1"/>
  <c r="L11" i="25"/>
  <c r="F12" i="27" s="1"/>
  <c r="M7" i="25"/>
  <c r="G8" i="27" s="1"/>
  <c r="M11" i="25"/>
  <c r="G12" i="27" s="1"/>
  <c r="Y33" i="21"/>
  <c r="Z33" i="21" s="1"/>
  <c r="AC33" i="21"/>
  <c r="Z32" i="21"/>
  <c r="AA33" i="21" l="1"/>
  <c r="B14" i="28"/>
  <c r="B15" i="28"/>
  <c r="B13" i="28"/>
  <c r="B16" i="28"/>
  <c r="Y34" i="21"/>
  <c r="AA34" i="21" s="1"/>
  <c r="AC34" i="21"/>
  <c r="AB34" i="21" s="1"/>
  <c r="AB33" i="21"/>
  <c r="B17" i="28" l="1"/>
  <c r="C17" i="28" s="1"/>
  <c r="AE32" i="21"/>
  <c r="Z34" i="21"/>
  <c r="AG32" i="21"/>
  <c r="AF32" i="21" l="1"/>
  <c r="D9" i="26"/>
  <c r="F9" i="26" s="1"/>
  <c r="AD32" i="21"/>
  <c r="C9" i="26"/>
  <c r="E9" i="26" s="1"/>
  <c r="B20" i="28"/>
  <c r="C13" i="28"/>
  <c r="C14" i="28"/>
  <c r="C15" i="28"/>
  <c r="C16" i="28"/>
  <c r="AH32" i="21"/>
  <c r="T26" i="21"/>
  <c r="Q26" i="21"/>
  <c r="T25" i="21"/>
  <c r="Q25" i="21"/>
  <c r="T24" i="21"/>
  <c r="Q24" i="21"/>
  <c r="T23" i="21"/>
  <c r="Q23" i="21"/>
  <c r="T22" i="21"/>
  <c r="Q22" i="21"/>
  <c r="T21" i="21"/>
  <c r="Q21" i="21"/>
  <c r="T20" i="21"/>
  <c r="Q20" i="21"/>
  <c r="T19" i="21"/>
  <c r="Q19" i="21"/>
  <c r="T18" i="21"/>
  <c r="Q18" i="21"/>
  <c r="T17" i="21"/>
  <c r="Q17" i="21"/>
  <c r="T16" i="21"/>
  <c r="Q16" i="21"/>
  <c r="T15" i="21"/>
  <c r="Q15" i="21"/>
  <c r="N15" i="21"/>
  <c r="M15" i="21"/>
  <c r="K15" i="21"/>
  <c r="T65" i="21"/>
  <c r="Q65" i="21"/>
  <c r="T64" i="21"/>
  <c r="Q64" i="21"/>
  <c r="N64" i="21"/>
  <c r="M64" i="21"/>
  <c r="K64" i="21"/>
  <c r="T63" i="21"/>
  <c r="Q63" i="21"/>
  <c r="T62" i="21"/>
  <c r="Q62" i="21"/>
  <c r="T61" i="21"/>
  <c r="Q61" i="21"/>
  <c r="T58" i="21"/>
  <c r="Q58" i="21"/>
  <c r="T57" i="21"/>
  <c r="Q57" i="21"/>
  <c r="T55" i="21"/>
  <c r="Q55" i="21"/>
  <c r="N55" i="21"/>
  <c r="M55" i="21"/>
  <c r="K55" i="21"/>
  <c r="G9" i="26" l="1"/>
  <c r="AC65" i="21"/>
  <c r="AB65" i="21" s="1"/>
  <c r="AC15" i="21"/>
  <c r="AB15" i="21" s="1"/>
  <c r="Y15" i="21"/>
  <c r="Y64" i="21"/>
  <c r="AC64" i="21"/>
  <c r="AC16" i="21" l="1"/>
  <c r="AB16" i="21" s="1"/>
  <c r="AC17" i="21"/>
  <c r="AC18" i="21" s="1"/>
  <c r="AA15" i="21"/>
  <c r="Y16" i="21" s="1"/>
  <c r="Z15" i="21"/>
  <c r="AB64" i="21"/>
  <c r="AA64" i="21"/>
  <c r="Z64" i="21"/>
  <c r="AB17" i="21" l="1"/>
  <c r="Y65" i="21"/>
  <c r="AA16" i="21"/>
  <c r="Y17" i="21" s="1"/>
  <c r="Z16" i="21"/>
  <c r="AB18" i="21"/>
  <c r="AC19" i="21"/>
  <c r="AG64" i="21"/>
  <c r="AA65" i="21" l="1"/>
  <c r="Z65" i="21"/>
  <c r="AE64" i="21"/>
  <c r="AF64" i="21"/>
  <c r="D15" i="26"/>
  <c r="F15" i="26" s="1"/>
  <c r="AB19" i="21"/>
  <c r="AC20" i="21"/>
  <c r="AA17" i="21"/>
  <c r="Y18" i="21" s="1"/>
  <c r="Z17" i="21"/>
  <c r="AC58" i="21"/>
  <c r="AD64" i="21" l="1"/>
  <c r="AH64" i="21" s="1"/>
  <c r="C15" i="26"/>
  <c r="E15" i="26" s="1"/>
  <c r="G15" i="26" s="1"/>
  <c r="AA18" i="21"/>
  <c r="Y19" i="21" s="1"/>
  <c r="Z18" i="21"/>
  <c r="AB20" i="21"/>
  <c r="AC21" i="21"/>
  <c r="AB58" i="21"/>
  <c r="AC59" i="21"/>
  <c r="AB21" i="21" l="1"/>
  <c r="AC22" i="21"/>
  <c r="AA19" i="21"/>
  <c r="Y20" i="21" s="1"/>
  <c r="Z19" i="21"/>
  <c r="Y58" i="21"/>
  <c r="AB59" i="21"/>
  <c r="Z20" i="21" l="1"/>
  <c r="AA20" i="21"/>
  <c r="Y21" i="21" s="1"/>
  <c r="AB22" i="21"/>
  <c r="AC23" i="21"/>
  <c r="AA58" i="21"/>
  <c r="Y59" i="21" s="1"/>
  <c r="Z58" i="21"/>
  <c r="AB23" i="21" l="1"/>
  <c r="AC24" i="21"/>
  <c r="AA21" i="21"/>
  <c r="Y22" i="21" s="1"/>
  <c r="Z21" i="21"/>
  <c r="AA59" i="21"/>
  <c r="Z59" i="21"/>
  <c r="AC63" i="21"/>
  <c r="Z22" i="21" l="1"/>
  <c r="AA22" i="21"/>
  <c r="Y23" i="21" s="1"/>
  <c r="AB24" i="21"/>
  <c r="AC25" i="21"/>
  <c r="AB63" i="21"/>
  <c r="AG55" i="21"/>
  <c r="AF55" i="21" l="1"/>
  <c r="D14" i="26"/>
  <c r="F14" i="26" s="1"/>
  <c r="AB25" i="21"/>
  <c r="AC26" i="21"/>
  <c r="AA23" i="21"/>
  <c r="Y24" i="21" s="1"/>
  <c r="Z23" i="21"/>
  <c r="AA24" i="21" l="1"/>
  <c r="Y25" i="21" s="1"/>
  <c r="Z24" i="21"/>
  <c r="AB26" i="21"/>
  <c r="AG15" i="21"/>
  <c r="Y63" i="21"/>
  <c r="AF15" i="21" l="1"/>
  <c r="D7" i="26"/>
  <c r="F7" i="26" s="1"/>
  <c r="AA25" i="21"/>
  <c r="Z25" i="21"/>
  <c r="AA63" i="21"/>
  <c r="Z63" i="21"/>
  <c r="AE55" i="21"/>
  <c r="AD55" i="21" l="1"/>
  <c r="AH55" i="21" s="1"/>
  <c r="C14" i="26"/>
  <c r="E14" i="26" s="1"/>
  <c r="G14" i="26" s="1"/>
  <c r="T54" i="21"/>
  <c r="Q54" i="21"/>
  <c r="T53" i="21"/>
  <c r="Q53" i="21"/>
  <c r="N53" i="21"/>
  <c r="M53" i="21"/>
  <c r="K53" i="21"/>
  <c r="Y52" i="21"/>
  <c r="Y51" i="21"/>
  <c r="Y50" i="21"/>
  <c r="T49" i="21"/>
  <c r="Q49" i="21"/>
  <c r="T48" i="21"/>
  <c r="Q48" i="21"/>
  <c r="T47" i="21"/>
  <c r="Q47" i="21"/>
  <c r="N47" i="21"/>
  <c r="M47" i="21"/>
  <c r="AC47" i="21" s="1"/>
  <c r="K47" i="21"/>
  <c r="Y47" i="21" s="1"/>
  <c r="T46" i="21"/>
  <c r="Q46" i="21"/>
  <c r="T45" i="21"/>
  <c r="Q45" i="21"/>
  <c r="N45" i="21"/>
  <c r="M45" i="21"/>
  <c r="K45" i="21"/>
  <c r="T44" i="21"/>
  <c r="Q44" i="21"/>
  <c r="T43" i="21"/>
  <c r="Q43" i="21"/>
  <c r="T42" i="21"/>
  <c r="Q42" i="21"/>
  <c r="T41" i="21"/>
  <c r="Q41" i="21"/>
  <c r="N41" i="21"/>
  <c r="M41" i="21"/>
  <c r="K41" i="21"/>
  <c r="Y41" i="21" l="1"/>
  <c r="AA41" i="21" s="1"/>
  <c r="Y42" i="21" s="1"/>
  <c r="AA42" i="21" s="1"/>
  <c r="AC45" i="21"/>
  <c r="AB45" i="21" s="1"/>
  <c r="AB47" i="21"/>
  <c r="AC48" i="21"/>
  <c r="AB48" i="21" s="1"/>
  <c r="Y48" i="21"/>
  <c r="Z48" i="21" s="1"/>
  <c r="AC41" i="21"/>
  <c r="Y43" i="21" s="1"/>
  <c r="Y45" i="21"/>
  <c r="AA45" i="21" s="1"/>
  <c r="Y46" i="21" s="1"/>
  <c r="AE45" i="21" s="1"/>
  <c r="AA47" i="21"/>
  <c r="Z47" i="21"/>
  <c r="Y53" i="21"/>
  <c r="AC53" i="21"/>
  <c r="AC54" i="21" s="1"/>
  <c r="AB54" i="21" s="1"/>
  <c r="Z45" i="21" l="1"/>
  <c r="AD45" i="21"/>
  <c r="C12" i="26"/>
  <c r="E12" i="26" s="1"/>
  <c r="AA48" i="21"/>
  <c r="Y49" i="21" s="1"/>
  <c r="Z49" i="21" s="1"/>
  <c r="AC49" i="21"/>
  <c r="AB49" i="21" s="1"/>
  <c r="Z41" i="21"/>
  <c r="Z42" i="21"/>
  <c r="AA43" i="21"/>
  <c r="Y44" i="21" s="1"/>
  <c r="Z44" i="21" s="1"/>
  <c r="Z43" i="21"/>
  <c r="AE41" i="21"/>
  <c r="AC42" i="21"/>
  <c r="AB42" i="21" s="1"/>
  <c r="AB41" i="21"/>
  <c r="AG53" i="21"/>
  <c r="AB53" i="21"/>
  <c r="AA53" i="21"/>
  <c r="Y54" i="21" s="1"/>
  <c r="Z53" i="21"/>
  <c r="AA46" i="21"/>
  <c r="Z46" i="21"/>
  <c r="AA49" i="21" l="1"/>
  <c r="AE47" i="21"/>
  <c r="AD47" i="21" s="1"/>
  <c r="AD41" i="21"/>
  <c r="C11" i="26"/>
  <c r="E11" i="26" s="1"/>
  <c r="AF53" i="21"/>
  <c r="D13" i="26"/>
  <c r="F13" i="26" s="1"/>
  <c r="AA54" i="21"/>
  <c r="Z54" i="21"/>
  <c r="AA44" i="21"/>
  <c r="AE53" i="21"/>
  <c r="AC43" i="21"/>
  <c r="AG41" i="21" s="1"/>
  <c r="AG47" i="21"/>
  <c r="AF47" i="21" s="1"/>
  <c r="AH47" i="21" l="1"/>
  <c r="AD53" i="21"/>
  <c r="AH53" i="21" s="1"/>
  <c r="C13" i="26"/>
  <c r="E13" i="26" s="1"/>
  <c r="G13" i="26" s="1"/>
  <c r="AF41" i="21"/>
  <c r="AH41" i="21" s="1"/>
  <c r="D11" i="26"/>
  <c r="F11" i="26" s="1"/>
  <c r="G11" i="26" s="1"/>
  <c r="AC44" i="21"/>
  <c r="AB44" i="21" s="1"/>
  <c r="AB43" i="21"/>
  <c r="K27" i="21" l="1"/>
  <c r="M27" i="21"/>
  <c r="AC46" i="21" s="1"/>
  <c r="N27" i="21"/>
  <c r="T27" i="21"/>
  <c r="Y26" i="21" s="1"/>
  <c r="T28" i="21"/>
  <c r="Q29" i="21"/>
  <c r="T29" i="21"/>
  <c r="Q30" i="21"/>
  <c r="T30" i="21"/>
  <c r="Q31" i="21"/>
  <c r="T31" i="21"/>
  <c r="AC27" i="21" l="1"/>
  <c r="AC28" i="21" s="1"/>
  <c r="AB28" i="21" s="1"/>
  <c r="AA26" i="21"/>
  <c r="Z26" i="21"/>
  <c r="AE15" i="21"/>
  <c r="Y27" i="21"/>
  <c r="Z27" i="21" s="1"/>
  <c r="AB46" i="21"/>
  <c r="AG45" i="21"/>
  <c r="AC30" i="21"/>
  <c r="AB30" i="21" s="1"/>
  <c r="AC29" i="21"/>
  <c r="AB29" i="21" s="1"/>
  <c r="AB27" i="21"/>
  <c r="AD15" i="21" l="1"/>
  <c r="AH15" i="21" s="1"/>
  <c r="C7" i="26"/>
  <c r="E7" i="26" s="1"/>
  <c r="G7" i="26" s="1"/>
  <c r="AF45" i="21"/>
  <c r="AH45" i="21" s="1"/>
  <c r="D12" i="26"/>
  <c r="F12" i="26" s="1"/>
  <c r="G12" i="26" s="1"/>
  <c r="AA27" i="21"/>
  <c r="Y28" i="21" s="1"/>
  <c r="Z28" i="21" s="1"/>
  <c r="AC31" i="21"/>
  <c r="AB31" i="21" s="1"/>
  <c r="AA28" i="21" l="1"/>
  <c r="Y29" i="21" s="1"/>
  <c r="AA29" i="21" s="1"/>
  <c r="AG27" i="21"/>
  <c r="AF27" i="21" l="1"/>
  <c r="D8" i="26"/>
  <c r="F8" i="26" s="1"/>
  <c r="Z29" i="21"/>
  <c r="Y31" i="21"/>
  <c r="Y30" i="21"/>
  <c r="Z31" i="21" l="1"/>
  <c r="AA31" i="21"/>
  <c r="AA30" i="21"/>
  <c r="Z30" i="21"/>
  <c r="AE27" i="21"/>
  <c r="AD27" i="21" l="1"/>
  <c r="AH27" i="21" s="1"/>
  <c r="C8" i="26"/>
  <c r="E8" i="26" s="1"/>
  <c r="G8" i="26" s="1"/>
  <c r="T40" i="21"/>
  <c r="Q40" i="21"/>
  <c r="T39" i="21"/>
  <c r="Q39" i="21"/>
  <c r="T38" i="21"/>
  <c r="Q38" i="21"/>
  <c r="T37" i="21"/>
  <c r="Q37" i="21"/>
  <c r="T36" i="21"/>
  <c r="Q36" i="21"/>
  <c r="T35" i="21"/>
  <c r="Q35" i="21"/>
  <c r="N35" i="21"/>
  <c r="M35" i="21"/>
  <c r="K35" i="21"/>
  <c r="Y35" i="21" l="1"/>
  <c r="AC35" i="21"/>
  <c r="AA35" i="21" l="1"/>
  <c r="Y36" i="21" s="1"/>
  <c r="Z35" i="21"/>
  <c r="AB35" i="21"/>
  <c r="AC36" i="21"/>
  <c r="AB36" i="21" l="1"/>
  <c r="AC37" i="21"/>
  <c r="AA36" i="21"/>
  <c r="Y37" i="21" s="1"/>
  <c r="Z36" i="21"/>
  <c r="AB37" i="21" l="1"/>
  <c r="AC38" i="21"/>
  <c r="Z37" i="21"/>
  <c r="AA37" i="21"/>
  <c r="Y38" i="21" s="1"/>
  <c r="AA38" i="21" l="1"/>
  <c r="Y39" i="21" s="1"/>
  <c r="Z38" i="21"/>
  <c r="AB38" i="21"/>
  <c r="AC40" i="21"/>
  <c r="AB40" i="21" s="1"/>
  <c r="AC39" i="21"/>
  <c r="AB39" i="21" l="1"/>
  <c r="AG35" i="21"/>
  <c r="AA39" i="21"/>
  <c r="Y40" i="21" s="1"/>
  <c r="Z39" i="21"/>
  <c r="AF35" i="21" l="1"/>
  <c r="D10" i="26"/>
  <c r="F10" i="26" s="1"/>
  <c r="AA40" i="21"/>
  <c r="Z40" i="21"/>
  <c r="AE35" i="21"/>
  <c r="AD35" i="21" l="1"/>
  <c r="AH35" i="21" s="1"/>
  <c r="C10" i="26"/>
  <c r="E10" i="26" s="1"/>
  <c r="G10" i="26" s="1"/>
  <c r="T82" i="21"/>
  <c r="Q82" i="21"/>
  <c r="T81" i="21"/>
  <c r="Q81" i="21"/>
  <c r="T80" i="21"/>
  <c r="Q80" i="21"/>
  <c r="T79" i="21"/>
  <c r="Q79" i="21"/>
  <c r="T78" i="21"/>
  <c r="Q78" i="21"/>
  <c r="T77" i="21"/>
  <c r="Q77" i="21"/>
  <c r="T76" i="21"/>
  <c r="Q76" i="21"/>
  <c r="T75" i="21"/>
  <c r="Q75" i="21"/>
  <c r="M75" i="21"/>
  <c r="K75" i="21"/>
  <c r="T74" i="21"/>
  <c r="Q74" i="21"/>
  <c r="T73" i="21"/>
  <c r="Q73" i="21"/>
  <c r="T72" i="21"/>
  <c r="Q72" i="21"/>
  <c r="T71" i="21"/>
  <c r="Q71" i="21"/>
  <c r="N71" i="21"/>
  <c r="M71" i="21"/>
  <c r="K71" i="21"/>
  <c r="T70" i="21"/>
  <c r="Q70" i="21"/>
  <c r="T69" i="21"/>
  <c r="Q69" i="21"/>
  <c r="T68" i="21"/>
  <c r="Q68" i="21"/>
  <c r="N68" i="21"/>
  <c r="M68" i="21"/>
  <c r="K68" i="21"/>
  <c r="T67" i="21"/>
  <c r="Q67" i="21"/>
  <c r="T66" i="21"/>
  <c r="Q66" i="21"/>
  <c r="AC66" i="21" s="1"/>
  <c r="AB66" i="21" s="1"/>
  <c r="N66" i="21"/>
  <c r="H189" i="22"/>
  <c r="B189" i="22" a="1"/>
  <c r="B189" i="22" s="1"/>
  <c r="H188" i="22"/>
  <c r="H187" i="22"/>
  <c r="H186" i="22"/>
  <c r="H185" i="22"/>
  <c r="H184" i="22"/>
  <c r="H183" i="22"/>
  <c r="H182" i="22"/>
  <c r="H181" i="22"/>
  <c r="H180" i="22"/>
  <c r="H179" i="22"/>
  <c r="H178" i="22"/>
  <c r="J178" i="22" l="1"/>
  <c r="AC68" i="21"/>
  <c r="AC69" i="21" s="1"/>
  <c r="AB69" i="21" s="1"/>
  <c r="AC67" i="21"/>
  <c r="AB67" i="21" s="1"/>
  <c r="Y68" i="21"/>
  <c r="Z68" i="21" s="1"/>
  <c r="Y66" i="21"/>
  <c r="AC75" i="21"/>
  <c r="AC77" i="21" s="1"/>
  <c r="Y75" i="21"/>
  <c r="AC71" i="21"/>
  <c r="AC72" i="21" s="1"/>
  <c r="Y71" i="21"/>
  <c r="AG66" i="21" l="1"/>
  <c r="AB68" i="21"/>
  <c r="AC76" i="21"/>
  <c r="AB76" i="21" s="1"/>
  <c r="AA68" i="21"/>
  <c r="Y69" i="21" s="1"/>
  <c r="Z69" i="21" s="1"/>
  <c r="Z66" i="21"/>
  <c r="AA66" i="21"/>
  <c r="Y67" i="21" s="1"/>
  <c r="AC70" i="21"/>
  <c r="AB70" i="21" s="1"/>
  <c r="Z75" i="21"/>
  <c r="AA75" i="21"/>
  <c r="Y76" i="21" s="1"/>
  <c r="AB77" i="21"/>
  <c r="AC78" i="21"/>
  <c r="AB75" i="21"/>
  <c r="Z71" i="21"/>
  <c r="AA71" i="21"/>
  <c r="AC73" i="21"/>
  <c r="AB73" i="21" s="1"/>
  <c r="AB72" i="21"/>
  <c r="AC74" i="21"/>
  <c r="AB74" i="21" s="1"/>
  <c r="AB71" i="21"/>
  <c r="AF66" i="21" l="1"/>
  <c r="D16" i="26"/>
  <c r="F16" i="26" s="1"/>
  <c r="AG68" i="21"/>
  <c r="AA69" i="21"/>
  <c r="Y70" i="21" s="1"/>
  <c r="AE68" i="21" s="1"/>
  <c r="AA67" i="21"/>
  <c r="AE66" i="21"/>
  <c r="Z67" i="21"/>
  <c r="AB78" i="21"/>
  <c r="AC79" i="21"/>
  <c r="AG71" i="21"/>
  <c r="Z76" i="21"/>
  <c r="AA76" i="21"/>
  <c r="Y77" i="21" s="1"/>
  <c r="Y72" i="21"/>
  <c r="Y73" i="21"/>
  <c r="AF71" i="21" l="1"/>
  <c r="D18" i="26"/>
  <c r="F18" i="26" s="1"/>
  <c r="AD68" i="21"/>
  <c r="AH68" i="21" s="1"/>
  <c r="C17" i="26"/>
  <c r="E17" i="26" s="1"/>
  <c r="AF68" i="21"/>
  <c r="D17" i="26"/>
  <c r="F17" i="26" s="1"/>
  <c r="AD66" i="21"/>
  <c r="AH66" i="21" s="1"/>
  <c r="C16" i="26"/>
  <c r="E16" i="26" s="1"/>
  <c r="AA70" i="21"/>
  <c r="Z70" i="21"/>
  <c r="Z77" i="21"/>
  <c r="AA77" i="21"/>
  <c r="AA73" i="21"/>
  <c r="Y74" i="21" s="1"/>
  <c r="Z73" i="21"/>
  <c r="AA72" i="21"/>
  <c r="Z72" i="21"/>
  <c r="AB79" i="21"/>
  <c r="AC80" i="21"/>
  <c r="G17" i="26" l="1"/>
  <c r="G16" i="26"/>
  <c r="AA74" i="21"/>
  <c r="Z74" i="21"/>
  <c r="AB80" i="21"/>
  <c r="AC82" i="21"/>
  <c r="AB82" i="21" s="1"/>
  <c r="AC81" i="21"/>
  <c r="AB81" i="21" s="1"/>
  <c r="Y78" i="21"/>
  <c r="Y79" i="21"/>
  <c r="AE71" i="21"/>
  <c r="AG75" i="21"/>
  <c r="AF75" i="21" l="1"/>
  <c r="D19" i="26"/>
  <c r="F19" i="26" s="1"/>
  <c r="AD71" i="21"/>
  <c r="AH71" i="21" s="1"/>
  <c r="C18" i="26"/>
  <c r="E18" i="26" s="1"/>
  <c r="Z78" i="21"/>
  <c r="AA78" i="21"/>
  <c r="Z79" i="21"/>
  <c r="AA79" i="21"/>
  <c r="Y80" i="21" s="1"/>
  <c r="G18" i="26" l="1"/>
  <c r="Z80" i="21"/>
  <c r="AA80" i="21"/>
  <c r="Y81" i="21" s="1"/>
  <c r="AE75" i="21"/>
  <c r="AD75" i="21" l="1"/>
  <c r="AH75" i="21" s="1"/>
  <c r="C19" i="26"/>
  <c r="E19" i="26" s="1"/>
  <c r="Z81" i="21"/>
  <c r="AA81" i="21"/>
  <c r="Y82" i="21" s="1"/>
  <c r="G19" i="26" l="1"/>
  <c r="L8" i="26"/>
  <c r="L9" i="27" s="1"/>
  <c r="L7" i="26"/>
  <c r="L8" i="27" s="1"/>
  <c r="K7" i="26"/>
  <c r="K8" i="27" s="1"/>
  <c r="K8" i="26"/>
  <c r="K9" i="27" s="1"/>
  <c r="L9" i="26"/>
  <c r="L10" i="27" s="1"/>
  <c r="M9" i="26"/>
  <c r="M10" i="27" s="1"/>
  <c r="K11" i="26"/>
  <c r="K12" i="27" s="1"/>
  <c r="L10" i="26"/>
  <c r="L11" i="27" s="1"/>
  <c r="M8" i="26"/>
  <c r="M9" i="27" s="1"/>
  <c r="K9" i="26"/>
  <c r="K10" i="27" s="1"/>
  <c r="O7" i="26"/>
  <c r="O8" i="27" s="1"/>
  <c r="O11" i="26"/>
  <c r="O12" i="27" s="1"/>
  <c r="N7" i="26"/>
  <c r="N8" i="27" s="1"/>
  <c r="N10" i="26"/>
  <c r="N11" i="27" s="1"/>
  <c r="N9" i="26"/>
  <c r="N10" i="27" s="1"/>
  <c r="M7" i="26"/>
  <c r="M8" i="27" s="1"/>
  <c r="N8" i="26"/>
  <c r="N9" i="27" s="1"/>
  <c r="O8" i="26"/>
  <c r="O9" i="27" s="1"/>
  <c r="K10" i="26"/>
  <c r="K11" i="27" s="1"/>
  <c r="O9" i="26"/>
  <c r="O10" i="27" s="1"/>
  <c r="M10" i="26"/>
  <c r="M11" i="27" s="1"/>
  <c r="M11" i="26"/>
  <c r="M12" i="27" s="1"/>
  <c r="N11" i="26"/>
  <c r="N12" i="27" s="1"/>
  <c r="O10" i="26"/>
  <c r="O11" i="27" s="1"/>
  <c r="L11" i="26"/>
  <c r="L12" i="27" s="1"/>
  <c r="AA82" i="21"/>
  <c r="Z82" i="21"/>
  <c r="D15" i="28" l="1"/>
  <c r="D13" i="28"/>
  <c r="D16" i="28"/>
  <c r="D14" i="28"/>
  <c r="E22" i="28" l="1"/>
  <c r="D17" i="28"/>
  <c r="E17" i="28" s="1"/>
  <c r="E13" i="28" l="1"/>
  <c r="E15" i="28"/>
  <c r="D20" i="28"/>
  <c r="E16" i="28"/>
  <c r="E14"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J66" authorId="0" shapeId="0" xr:uid="{00000000-0006-0000-0200-000001000000}">
      <text>
        <r>
          <rPr>
            <b/>
            <sz val="9"/>
            <color indexed="81"/>
            <rFont val="Tahoma"/>
            <family val="2"/>
          </rPr>
          <t>usuario:</t>
        </r>
        <r>
          <rPr>
            <sz val="9"/>
            <color indexed="81"/>
            <rFont val="Tahoma"/>
            <family val="2"/>
          </rPr>
          <t xml:space="preserve">
Revisar estructura para que quede ajustada a lenguaje claro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E313E396-640B-4CE3-BB92-6450719533F2}">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E623FABF-4B4D-479E-9C91-C0B1FA85CA42}">
      <text>
        <r>
          <rPr>
            <b/>
            <sz val="9"/>
            <color indexed="81"/>
            <rFont val="Tahoma"/>
            <family val="2"/>
          </rPr>
          <t>Celdas parametrizadas NO modificar.</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2BC20329-23EC-454B-8928-38A027A814CE}">
      <text>
        <r>
          <rPr>
            <b/>
            <sz val="9"/>
            <color indexed="81"/>
            <rFont val="Tahoma"/>
            <family val="2"/>
          </rPr>
          <t>Celdas parametrizadas NO modificar.</t>
        </r>
        <r>
          <rPr>
            <sz val="9"/>
            <color indexed="81"/>
            <rFont val="Tahoma"/>
            <family val="2"/>
          </rPr>
          <t xml:space="preserve">
</t>
        </r>
      </text>
    </comment>
    <comment ref="D12" authorId="0" shapeId="0" xr:uid="{6201F0EA-D11A-4BDA-B63F-B04959F177A4}">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<sst xmlns="http://schemas.openxmlformats.org/spreadsheetml/2006/main" count="1513" uniqueCount="672">
  <si>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</si>
  <si>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</si>
  <si>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</si>
  <si>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</si>
  <si>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</si>
  <si>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</si>
  <si>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</si>
  <si>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Estratégica</t>
  </si>
  <si>
    <t>FECHA DE ELABORACIÓN O ACTUALIZACIÓN:</t>
  </si>
  <si>
    <t>Marzo de 2022</t>
  </si>
  <si>
    <t>RESPONSABLE (s) DE ELABORACIÓN O ACTUALIZACIÓN</t>
  </si>
  <si>
    <t>Director
Subdirector de Planeación</t>
  </si>
  <si>
    <t>Factor: Externo/Interno/Proceso</t>
  </si>
  <si>
    <t xml:space="preserve">Variable </t>
  </si>
  <si>
    <t xml:space="preserve">¿Cómo me puede afectar? </t>
  </si>
  <si>
    <t>CARÁCTER: Positivo/negativo</t>
  </si>
  <si>
    <t>Breve análisis</t>
  </si>
  <si>
    <t>Factor Externo</t>
  </si>
  <si>
    <t>Relaciones interinstitucionales</t>
  </si>
  <si>
    <t>POSITIVO</t>
  </si>
  <si>
    <t xml:space="preserve">Facilita el trabajo colaborativo  institucional en función del objeto misional, a través de la confinanciación de proyectos estrategicos y/o asistencia técnica </t>
  </si>
  <si>
    <t>Factor Interno</t>
  </si>
  <si>
    <t>Trabajo desarticulado</t>
  </si>
  <si>
    <t>NEGATIVO</t>
  </si>
  <si>
    <t>Actualmente el Isvimed requiere cualificar la articulación con las diferentes entidades que tienen relacion con los proceso del objeto misional de vivienda y habitat (Curadurías, Registro Instrumentos Públicos ZN, Planeación Municipal, Gestión y Control</t>
  </si>
  <si>
    <t>Factor de proceso</t>
  </si>
  <si>
    <t>Flujos de trabajo desarticulado</t>
  </si>
  <si>
    <t xml:space="preserve">Genera errores en la consolidación de información, inoportunidad en la rendición de la misma, no hay fuentes confiables para la toma de decisiones. </t>
  </si>
  <si>
    <t>Incumplimiento de metas</t>
  </si>
  <si>
    <t>Al estar supeditados a variables de tipo externo, genera en parte incumplimiento de las metas institucionales, lo que impacta la imagen del instituto.</t>
  </si>
  <si>
    <t xml:space="preserve">Enfoque Diferencial </t>
  </si>
  <si>
    <t>Se cuenta con normativa que brinda claridad sobre la población objeto de intervención así como la base de datos con la misma</t>
  </si>
  <si>
    <t>Límites político administrativos claramente definidos</t>
  </si>
  <si>
    <t xml:space="preserve">La politica habitacional se encuentra claramente definida y con una proyección en el tiempo, lo que permite el desarrollo del objeto misional del Instituto. </t>
  </si>
  <si>
    <t>Variación de la asignación presupuestal a nivel local</t>
  </si>
  <si>
    <t>Afecta la asignación de recursos para la ejecucuón de los proyectos y el cumplimiento de metas</t>
  </si>
  <si>
    <t>Visiones encontradas frente a la priorización</t>
  </si>
  <si>
    <t>Dificultad en la priorización para la toma de decisiones y asignación de recursos, afectan imagen frente a los actores.</t>
  </si>
  <si>
    <t>Percepción errada del que hacer institucional</t>
  </si>
  <si>
    <t>Errónea concepción del externo frente al objeto del instituto/alcance de la intervención/corresponsabilidad del beneficiario.</t>
  </si>
  <si>
    <t>Inestabilidad en los cargos de nivel directivo</t>
  </si>
  <si>
    <t>Incumplimiento de politicas y metas institucionales</t>
  </si>
  <si>
    <t>Rediseño institucional</t>
  </si>
  <si>
    <t>No se cuenta con una estructura optima para cubrir las necesidades del servicio</t>
  </si>
  <si>
    <t>Falta de integralidad en solución habitacional</t>
  </si>
  <si>
    <t>Se esta en etapa inicial de soluciones integrales de vivienda</t>
  </si>
  <si>
    <t>Falta de disponibilidad de suelo no urbanizado</t>
  </si>
  <si>
    <t>Afecta el desarrollo de vivienda VIS y VIP</t>
  </si>
  <si>
    <t>Debilidad en sistemas de información (SIFI)</t>
  </si>
  <si>
    <t>Ausencia de información para gestionar los procesos y plataformas tecnológicas que permitan ver resultado en tiempo real para un mejor análisis y posterior toma oportuna de decisiones y de requirimientos de actores (partes interesadas y grupos de valor)</t>
  </si>
  <si>
    <t xml:space="preserve"> Falta de claridad en la funciones de cada depencia</t>
  </si>
  <si>
    <t>Si bien cierto como producto de la revisión institucional del 2020, la UDEA entregó a la Entidad funciones de cada dependencia, no obstante dichas funciones no se encuentran formalizadas ya que no fue aprobado por el Consejo Directivo, y esto hace que siga vigente el manual de funciones por cargo mas no por dependencias.</t>
  </si>
  <si>
    <t>Avance incipiente de la Gestión del conocimiento organizacional</t>
  </si>
  <si>
    <t>La política de Gestión del Conocimiento y la innovación del MIPG, permite aprender de las experiencias para mejorar la gestión, sin embargo se encuentra en etapa inicial de desarrollo.</t>
  </si>
  <si>
    <t>Debilidad en parámetros para estilo de liderazgo</t>
  </si>
  <si>
    <t>No se han establecido perfiles específicos de estilo de liderazgo en el Isvimed, que pueden ser demostrados a traves de certificación de competencias y/o desarrollados en la Entidad.</t>
  </si>
  <si>
    <t>Falta de Idoneidad para el desarrollo de roles</t>
  </si>
  <si>
    <t>Las personas que ejecutan la labor no son idóneas para el desarrollo de ciertas actividades.</t>
  </si>
  <si>
    <t>Falta de identidad organizacional</t>
  </si>
  <si>
    <t>El capital humano no refleja una identidad organizacional, cada quien opera partiendo de su experiencia y de sus emociones.</t>
  </si>
  <si>
    <t>Falta de enfoque al resultado</t>
  </si>
  <si>
    <t>Ausencia de controles para el logro de resultados</t>
  </si>
  <si>
    <t>Desarticulación estratégica</t>
  </si>
  <si>
    <t>Falta definir foco común para el logro de metas institucionales</t>
  </si>
  <si>
    <t>Infraestructura adecuada</t>
  </si>
  <si>
    <t>Impacta positivamente en la operación de los procesos</t>
  </si>
  <si>
    <t>Afectaciones por transformación institucional (cambio de procesos, personas, perfiles, )</t>
  </si>
  <si>
    <t>Genera fuga de conocimiento y desestabiliza los procesos institucionales</t>
  </si>
  <si>
    <t>Alta Carga laboral</t>
  </si>
  <si>
    <t>Hay un sobrecarga laboral que deriva en clima laboral inadecuado.</t>
  </si>
  <si>
    <t>Resistencia al cambio</t>
  </si>
  <si>
    <t>Reprocesos, mayores costos e incumplimiento de objetivos.</t>
  </si>
  <si>
    <t>Falta de claridad en los indicadores que monitorean objetivos el Plan de Desarrollo Municipal Vigente</t>
  </si>
  <si>
    <t>Falta de claridad y/o conocimiento en las metas a desarrollar y de las metodologías para su medición y seguimiento.</t>
  </si>
  <si>
    <t>Respuesta inoportuna a la inmediatez</t>
  </si>
  <si>
    <t>Se responde de manera inoportuna a las exigencias coyunturales que se presentan en el instituto</t>
  </si>
  <si>
    <t xml:space="preserve"> Falta de conocimiento de la estrategia</t>
  </si>
  <si>
    <t>Dilata la operación para lograr un impacto estratégico</t>
  </si>
  <si>
    <t>Falta de participación activa en actividades institucionales</t>
  </si>
  <si>
    <t>Impide relaciones internas y externa para lograr sinergias que apuntan al logro de objetivos</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</si>
  <si>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</si>
  <si>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</si>
  <si>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</si>
  <si>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</si>
  <si>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</si>
  <si>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OBJETIVO:</t>
  </si>
  <si>
    <t>Lograr el cumplimiento de la política pública del sistema habitacional desde la gestión estratégica institucional.</t>
  </si>
  <si>
    <t>ALCANCE:</t>
  </si>
  <si>
    <t>El proceso inicia desde la planeación estratégica del instituto hasta el seguimiento de los Informes de gestión y el seguimiento de metas del Plan de Desarrollo.</t>
  </si>
  <si>
    <t>4.2. IDENTIFICACION DEL RIESGO</t>
  </si>
  <si>
    <t>4.3. EVALUACIÓN DEL RIESGO</t>
  </si>
  <si>
    <t>4.4. TRATAMIENTO DEL RIESGO</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</si>
  <si>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</si>
  <si>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</si>
  <si>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</si>
  <si>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</si>
  <si>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</si>
  <si>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 xml:space="preserve">Referencia </t>
  </si>
  <si>
    <t>Objetivo / Requisto de referencia</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</si>
  <si>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</si>
  <si>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</si>
  <si>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</si>
  <si>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</si>
  <si>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</si>
  <si>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</si>
  <si>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</si>
  <si>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</si>
  <si>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</si>
  <si>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</si>
  <si>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</si>
  <si>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</si>
  <si>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</si>
  <si>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</si>
  <si>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</si>
  <si>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</si>
  <si>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</si>
  <si>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(Medidas actuales)</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</si>
  <si>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</si>
  <si>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</si>
  <si>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</si>
  <si>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</si>
  <si>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</si>
  <si>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</si>
  <si>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</si>
  <si>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</si>
  <si>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</si>
  <si>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</si>
  <si>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</si>
  <si>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</si>
  <si>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</si>
  <si>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</si>
  <si>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</si>
  <si>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</si>
  <si>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GE29</t>
  </si>
  <si>
    <t>Lograr la entrega de 1.235 viviendas nuevas o usadas en el cuatrienio 2024 - 2027.</t>
  </si>
  <si>
    <t>Dirección</t>
  </si>
  <si>
    <t>Posiblidad de afectación reputacional y económica del Instituto</t>
  </si>
  <si>
    <t>reflejada en:
- Requerimientos por parte del Distrito y el Concejo de Medellín derivados del incumplimiento de la meta del plan de desarrollo.
- Hallazgos de entes de control.
- PQRSD y acciones legales por parte de la comunidad.
- Mayores costos en los proyectos constructivos por incumplimiento de los tiempos de entrega.
- Mayor tiempo en los pagos de los hogares que hacen parte del programa de arrendamiento temporal.</t>
  </si>
  <si>
    <t>debido a  que no sea posible gestionar la entrega material de la solución definitiva de vivienda a los hogares que esperan superar el deficit cuantitativo de acuerdo con las metas establecidas en el plan de desarrollo Distrital</t>
  </si>
  <si>
    <t>Posiblidad de afectación reputacional y económica del Instituto, reflejada en requerimientos por parte del Distrito y el Concejo de Medellín derivados del incumplimiento de la meta del plan de desarrollo, hallazgos de entes de control, PQRSD y acciones legales por parte de la comunidad, mayores costos en los proyectos constructivos por incumplimiento de los tiempos de entrega, asi como mayor tiempo en los pagos de los hogares que hacen parte del programa de arrendamiento temporal. Lo anterior, debido a  que no sea posible gestionar la entrega material de la solución definitiva de vivienda a los hogares que esperan superar el deficit cuantitativo.</t>
  </si>
  <si>
    <t>1. Existencia de problemas técnicos, financieros y jurídicos dutante la ejecución de las obras</t>
  </si>
  <si>
    <t>Gestión</t>
  </si>
  <si>
    <t>Alta</t>
  </si>
  <si>
    <t>Mayor</t>
  </si>
  <si>
    <t>Con el propósito de que un constructor considere atractivo desarrollar proyectos VIP/VIS el ISVIMED establece mecanismos de financiación de proyectos con aliados tales como Confiar, IDEA, entidades del sector bancario, entre otros. Para facilitar la consecución de este crédito hipotecario, el ISVIMED puede dar como garantía el predio ante el esquema fiduciario constituido para el proyecto.
la linea Urbana de la Subdirección de Planeación del ISVIMED, realiza seguimiento al cumplimiento de los requisitos para que el Proyecto acceda al credito de manera oportuna, lo cual se realiza a través del Control de cumplimiento de requisitos para desembolso de crédito constructor.</t>
  </si>
  <si>
    <t>Preventivo</t>
  </si>
  <si>
    <t>Manual</t>
  </si>
  <si>
    <t>Sin Documentar</t>
  </si>
  <si>
    <t>Aleatoria</t>
  </si>
  <si>
    <t>Con Registro</t>
  </si>
  <si>
    <t>Crédito Constructor aprobado y desembolsado en el fideicomiso del Proyecto.
Control de cumplimiento de requisitos para desembolso de crédito constructor</t>
  </si>
  <si>
    <t>Reducir (mitigar)</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</si>
  <si>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</si>
  <si>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El supervisor designado al contrato de interventoría de cada proyecto realiza seguimiento a los componentes técnicos, jurídicos y financieros, a través del informe mensual de supervisión en el cual se deja evidencia del cumplimiento de las obligaciones contractuales y de cualquier situación que pueda afectar el desarrollo del proyecto.</t>
  </si>
  <si>
    <t>Detectivo</t>
  </si>
  <si>
    <t>Documentado</t>
  </si>
  <si>
    <t>Continua</t>
  </si>
  <si>
    <t>Informe de Supervisión a la interventoría de cada proyecto</t>
  </si>
  <si>
    <t>2. La ausencia de predios viables para la ejecución de vivienda social y asequible de tipología VIS / VIP</t>
  </si>
  <si>
    <t>La Linea Urbana identifica y analiza los predios públicos y fiscales que se encuentran a nombre de Instituto con el fin de establecer su condición técnica y jurídica. Y de esta manera determinar el potencial público o de ejecución de proyectos de vivienda. Para ello se realiza la georreferenciación de los predios y se contrasta con la normativa de ordenamiento territorial para determinar las limitaciones normativas que puedan afectar el potencial de desarrollo de proyectos de vivienda; y en tal caso determinar si existe potencial e interés público.
En el caso de determinar potencial público se debe iniciar el relacionamiento con las diferentes entidades distritales para realizar el traslado de dichos predios.
En el caso de determinar potencial para la ejecución de proyectos de vivienda, se debe iniciar el proceso de prefactibilidad ya sea con aliados estratégicos o por cuenta propia del Instituto.</t>
  </si>
  <si>
    <t>GDB de predios del Isvimed con información técnica y jurídica analizada.
Presentación de la normativa de predios potenciales.
Ficha de viabilidad normativa de lotes y proyectos.
Análisis preliminar de lotes
Ficha de viabilidad normativa para estructuración.</t>
  </si>
  <si>
    <t>La Linea Urbana identifica y analiza los predios fiscales del Distrito de Medellín que tienen potencial para el desarrollo de proyectos habitacionales VIS/VIP. Para esto verifica la condiciones técnicas y jurídicas de tenencia y viabilidad en términos de normativa urbana a través de la georeferenciación de predios y el contraste con las normas de ordenamiento territorial. Lo anterior con el fin de solicitar traslado a título gratuito y gestionar la prefactibilidad y estructuración de los proyectos.</t>
  </si>
  <si>
    <t>GDB de predios del Isvimed con información técnica y jurídica analizada.
Oficio de Solicitud de Traslado de Predios a título gratuito.
Acuerdo de Concejo Distrital aprobando el traslado de predios a título gratuito
Presentación de la normativa de predios potenciales.
Ficha de viabilidad normativa de lotes y proyectos. Se une con el de abajo
Análisis preliminar de lotes
Ficha de viabilidad normativa para estructuración.</t>
  </si>
  <si>
    <t>la línea urbana diseña estrategias para la identificación de predios ó inmuebles privados en localizaciones estratégicas que puedan ser adquiridos por el Instituto en el marco del banco inmobiliario y desarrollados para vivienda social mediante diferentes mecanismos de financiación.</t>
  </si>
  <si>
    <t>Convenio con Agencia APP del Distrito de Medellín.
Campaña para identificación y postulación de predios de inmuebles privados (En proceso de estructuración)
Base de datos con predios de inmuebles postulados (En proceso de estructuración)
Ficha de viabilidad normativa de lotes y proyectos. (En proceso de estructuración)
Análisis preliminar de lotes. (En proceso de estructuración)</t>
  </si>
  <si>
    <t>3. Lotes con potencial para la ejecución de proyectos con condiciones de estabilidad del suelo no costeables.</t>
  </si>
  <si>
    <t>Una vez recibida las ficha de viabilidad normativa de lotes y proyectos y el análisis preliminar de lotes para aquellos predios con potencial para la ejecución de proyectos, se procede con la fase de estudios previos donde es necesario el estudio de suelo para determinar la tipologia de cimentación sugerida y las obras de habilitación de suelo en caso de ser necesarias. En tal caso, se contrata el diseño y costeo.
la linea Urbana de la Subdirección de Planeación del ISVIMED, revisa si los costos de las obras de habilitación del suelo pueden ser incluidas dentro de la estructura financiera del proyecto. De otra manera, se analiza la posibilidad de que el Instituto decida financiarlas o inviabilizar el proyecto.</t>
  </si>
  <si>
    <t>Estudio de Suelos
Informe de Geotecnia
Presupuesto de obras de habilitación de suelo
Comunicación con conclusión sobre viabilidad financiera de las obras de habilitación de suelo para los proyectos que lo requieran.</t>
  </si>
  <si>
    <t>Ver controles del riesgo GE27 en esta matriz</t>
  </si>
  <si>
    <t>Ver evidencias de controles del riesgo GE27 en esta matriz</t>
  </si>
  <si>
    <t>5. Ocupación ilegal / ilegítima de predios fiscales del Instituto o de interés del Instituto</t>
  </si>
  <si>
    <t>Se realiza en cada vigencia contratación del servicio de vigilancia para la custodia de los bienes de la entidad y seguridad del personal.
La empresa de seguridad debe atender los lineamientos establecidos en el instructivo para la gestión de invasiones o posesiones de los predios del instituto, I-GI-04.
El profesional líder de infraestructura con el profesional de apoyo a la seguridad verifica el cumplimiento de las obligaciones pactadas a través de la supervisión a este contrato de manera semanal.</t>
  </si>
  <si>
    <t>Informe de supervisión del contrato de seguridad física.
Informes de ejecución por parte del contratista.</t>
  </si>
  <si>
    <t>6. Dificultad por parte de los hogares para realizar el cierre financiero con el propósito de asignar el SDV en la modalidad de vivienda nueva (demanda libre)</t>
  </si>
  <si>
    <t>6.1</t>
  </si>
  <si>
    <t xml:space="preserve">Se ha establecido el  Programa de subsidio de vivienda nueva (demanda libre), para hogares que adquieren vivienda en proyectos privados en la ciudad de Medellìn a través de la  Estrategia "Compra tu casa" y hogares que aplican a proyectos gerenciados por el ISVIMED (promocionados a través de la Feria de vivienda), cuya inscripciòn se realiza por medio de la pàgina web con el diligenciamiento del formulario establecido para este fin.
La profesional encargada de la linea de acompañamiento social a vivienda nueva verifica los hogares que cumplen con los requisitos para el acceso al SDV del total de hogares inscritos en las diferentes estrategias.
Para proyectos gerenciados por el ISVIMED se debe lograr  la totalidad de las unidades habitacionales cuenten con hogares que cumplen con los requisitos para el acceso al SDV.. En el caso contrario se debe volver a realizar apertura de la convocatoria hasta lograr la meta.
Para hogares que se inscriben al SDV a través del programa compra tu casa para adquirir vivienda en proyectos privados, se verifica si por lo menos el 50% de los mismos cumplen con los requsitos para la asignación del SDV. 
</t>
  </si>
  <si>
    <t>Formularios de inscripción a las estrategias por parte de los hogares</t>
  </si>
  <si>
    <t>6.2</t>
  </si>
  <si>
    <t xml:space="preserve">La profesional encargada de la linea de acompañamiento social a vivienda nueva remite los hogares a la semillero "Vivienda un proyecto familiar" el cual consiste en asesorar a los hogares para que aumenten su capacidad de ahorro y puedan cubrir la cuota inicial.
La profesional encargada de la linea de acompañamiento social a vivienda nueva verifica la efectividad del semillero "Vivienda un proyecto familiar", a través de aquellos hogares que se incriben en la estrategia "Compra tu casa".
Documentado en: GU-GS-07 - GUÍA PARA EL DESARROLLO DE LA ESTRATEGIA “VIVIENDA, UN PROYECTO FAMILIAR” y resolución estrategia "Compra tu casa" </t>
  </si>
  <si>
    <t>6.3</t>
  </si>
  <si>
    <t xml:space="preserve">El instituto gestiona la firma de alianzas estratégicas con cooperativas, entidades financieras, cajas de compensación y entidades promotoras de vivienda, entre otros, para aunar esfuerzos y acercar la oferta hipotecaria a las familias. La alianzas se concretan a través de memorandos de entendimiento.
El profesional asignado realiza seguimiento a los compromisos establecidos en los memorandos de entendimiento a través del respectivo informe de supervisión.
</t>
  </si>
  <si>
    <t>informes de supervisión de memorandos de entendimiento con cooperativas, entidades financieras, cajas de compensación y entidades promotoras de vivienda, entre otros</t>
  </si>
  <si>
    <t>6.4</t>
  </si>
  <si>
    <t>El instituto ha establecido la estrategia de la "Ruta de la Vivienda" la cual consiste en acercar la oferta tanto propia como externa de todo lo relacionado con la vivienda nueva y mejoramientos (proyectos de vivienda, oferta de subsidios, oferta hipotecaria y charlas formativas).
Para realizar un evento de Ruta de la vivienda se identifican las zonas de la ciudad de Medellín con oferta de proyectos VIS/VIP y se busca un ubicación cercana donde realizar el evento. También se define la logística requerida para ubicar a los expositores (invitaciones a las entidades que van a exponer, mobiliario, material publicitario del evento, estrategias de difusión, entre otras).
El prorfesional asignado gestiona la realización de por lo menos una ruta de la vivienda al año y realiza seguimiento a la implementación de la logística requerida.
Asi msimo, se genera un informe sobre los resultados obtenidos del evento en donde se relaciona: familias asistentes, entidades que acompañaron el evento, cantidad y temáticas de las charlas informativas realizadas y resumen de logros.</t>
  </si>
  <si>
    <t>Informe de resultados del evento de la Ruta de la vivienda</t>
  </si>
  <si>
    <t>GE17</t>
  </si>
  <si>
    <t>Lograr el 95% de cumplimiento de reporte de indicadores en el SMO dentro de los primeros 5 días calendario de cada mes.
Reducir a 1 el numero de indicadores con inconsistencias (dato reportado en SMO vs fuente de información) en cada vigencia.
Lograr un 95% de cumplimiento del cronograma de publicación de avance de indicadores en plataformas establecidas por el DAP y el DNP de manera mensual.</t>
  </si>
  <si>
    <t>Posibilidad de afectación reputacional del Instituto</t>
  </si>
  <si>
    <t>reflejada en 
- el incumplimiento del cargue de la información en plataforma de entes externos (DAP-SAP,DNP-PIIP).
- la dificultad para realizar seguimiento al desempeño institucional y para la toma de decisiones por parte de la Alta Dirección
- hallazgos de los entes de control.</t>
  </si>
  <si>
    <t>debido a Ia información institucional es reportada de manera inoportuna y/o con inconsistencias en el SMO Institucional y en plataformas externas.</t>
  </si>
  <si>
    <t>Posibilidad de afectación reputacional del Instituto reflejada en  el incumplimiento del cargue de la información en plataforma de entes externos (DAP-SAP, DNP-PIIP), la dificultad para realizar seguimiento al desempeño institucional asi como para la toma de decisiones por parte de la Alta Dirección y hallazgos de los entes de control. Lo anterior, debido a Ia información institucional es reportada de manera inoportuna y/o con inconsistencias en el SMO Institucional y en plataformas externas.</t>
  </si>
  <si>
    <t>El responsable del diligenciamiento y análsis del dato del indicador no es el competente para el reporte de la información</t>
  </si>
  <si>
    <t>Media</t>
  </si>
  <si>
    <t>Moderado</t>
  </si>
  <si>
    <t xml:space="preserve">
La subdirección de Planeción identifica la dependencia idonea para la generación, análsis y reporte de la información de cada indicador, lo cual queda consignado en la ficha técnica.</t>
  </si>
  <si>
    <t>Probabilidad</t>
  </si>
  <si>
    <t>Ficha técnica de indicadores del SMO</t>
  </si>
  <si>
    <r>
      <t xml:space="preserve">Se materializó el Riesgo?  (Evento Potencial Principal): Durante el primer trimestre, no se materializo el riesgo,  los indicadore fueron reportados en el SMO en el tiempo establecido de manera oportuna y adecuada y se realizaron los reportes correspondientes en la plataformas. 
</t>
    </r>
    <r>
      <rPr>
        <sz val="12"/>
        <color rgb="FFFF0000"/>
        <rFont val="Arial Narrow"/>
        <family val="2"/>
      </rPr>
      <t xml:space="preserve">
</t>
    </r>
    <r>
      <rPr>
        <sz val="11"/>
        <color theme="1"/>
        <rFont val="Arial Narrow"/>
        <family val="2"/>
      </rPr>
      <t>Los Controles están bien  diseñados, se aplican conforme al diseño  y son efectivos? Los controles se encuentran adecuadamente diseñados y se aplicaron correctamente durante el primer trimestre. 
Que acciones propones o se están llevando a cabo para gestionar el riesgo que se materializó? N/A
Que acciones propones o se están llevando a cabo para fortalecer los controles? No aplica por cuanto no ha sido necesario documentar acciones frente a materialización del riesgo o para fortalecer controles.</t>
    </r>
  </si>
  <si>
    <r>
      <rPr>
        <b/>
        <sz val="11"/>
        <color theme="1"/>
        <rFont val="Arial Narrow"/>
        <family val="2"/>
      </rPr>
      <t xml:space="preserve">Evidencias de aplicación de Controles
Ficha técnica de indicadores con información reportada en el SMO: </t>
    </r>
    <r>
      <rPr>
        <sz val="11"/>
        <color theme="1"/>
        <rFont val="Arial Narrow"/>
        <family val="2"/>
      </rPr>
      <t xml:space="preserve"> https://sifi.isvimed.gov.co/indicadores
</t>
    </r>
    <r>
      <rPr>
        <b/>
        <sz val="11"/>
        <color theme="1"/>
        <rFont val="Arial Narrow"/>
        <family val="2"/>
      </rPr>
      <t>Correo electrónico con solicitud de cargue para indicadores:</t>
    </r>
    <r>
      <rPr>
        <sz val="11"/>
        <color theme="1"/>
        <rFont val="Arial Narrow"/>
        <family val="2"/>
      </rPr>
      <t xml:space="preserve"> 
https://isvimedgovco.sharepoint.com/sites/7Planeacion/Documentos%20compartidos/Forms/AllItems.aspx?id=%2Fsites%2F7Planeacion%2FDocumentos%20compartidos%2FEVIDENCIAS%20MATRIZ%20DE%20RIESGOS%202025%20%2D%202026%20%28%20Estrat%C3%A9gica%20%29&amp;viewid=e165b9cc%2Dfc1b%2D441e%2D9471%2D59bb3e351ae9&amp;newTargetListUrl=%2Fsites%2F7Planeacion%2FDocumentos%20compartidos&amp;viewpath=%2Fsites%2F7Planeacion%2FDocumentos%20compartidos%2FForms%2FAllItems%2Easpx
</t>
    </r>
    <r>
      <rPr>
        <b/>
        <sz val="11"/>
        <color theme="1"/>
        <rFont val="Arial Narrow"/>
        <family val="2"/>
      </rPr>
      <t>Seguimiento Plan de acción (PA) y el Plan Indicativo ( PI ) ( Formatos ):</t>
    </r>
    <r>
      <rPr>
        <sz val="11"/>
        <color theme="1"/>
        <rFont val="Arial Narrow"/>
        <family val="2"/>
      </rPr>
      <t xml:space="preserve">
https://isvimedgovco.sharepoint.com/sites/7Planeacion/Documentos%20compartidos/Forms/AllItems.aspx?id=%2Fsites%2F7Planeacion%2FDocumentos%20compartidos%2FEVIDENCIAS%20MATRIZ%20DE%20RIESGOS%202025%20%2D%202026%20%28%20Estrat%C3%A9gica%20%29&amp;viewid=e165b9cc%2Dfc1b%2D441e%2D9471%2D59bb3e351ae9&amp;newTargetListUrl=%2Fsites%2F7Planeacion%2FDocumentos%20compartidos&amp;viewpath=%2Fsites%2F7Planeacion%2FDocumentos%20compartidos%2FForms%2FAllItems%2Easpx
</t>
    </r>
    <r>
      <rPr>
        <b/>
        <sz val="11"/>
        <color theme="1"/>
        <rFont val="Arial Narrow"/>
        <family val="2"/>
      </rPr>
      <t>Publicación del Plan de acción (PA) y el Plan Indicativo ( PI )( En la página web ) :</t>
    </r>
    <r>
      <rPr>
        <sz val="11"/>
        <color theme="1"/>
        <rFont val="Arial Narrow"/>
        <family val="2"/>
      </rPr>
      <t xml:space="preserve">
https://isvimed.gov.co/transparencia/plan-de-accion/
https://isvimed.gov.co/transparencia/plan-indicativo/</t>
    </r>
  </si>
  <si>
    <t>La información que muestra el cumlimiento de metas relacionadas con indicadores de Plan de Desarrollo no se carga por parte de los responsables en el límite de tiempo establecido para tal fin.</t>
  </si>
  <si>
    <t>La linea estratégica de la subdirección de planeación verifica el cargue oportuno de indicadores de resultado, producto y gestión dentro de los primeros 5 días calendario de cada mes.
El profesional vinculado responsable del cargue del indicador en caso de cargue inoportuno, solicita via correo electrónico al profesional especializado de la Subdirección de Planeación que se cargue la información que suministra dato, análisis y archivo soporte. Una vez validada la información se solicita al profesional universitario encargado de los Sistemas de Gestión el cargue extemporáneo del indicador.</t>
  </si>
  <si>
    <t>Información de indicadores cargada en el SMO  dentro de los primeros 5 días calendario de cada mes.
Correo electrónicos con solicitud de modificación o de cargue</t>
  </si>
  <si>
    <t>Falta de conocimiento de la información que debe ser reportada en cada plataforma, la frecuencia de reporte y la utilización de la mismas.</t>
  </si>
  <si>
    <t>El DAP envia el cronograma mensual para cargue de información relacionada con Seguimiento al Plan de acción anual y al plan indicativo. El DNP establece que se debe cargar la información en la plataforma DNP-PIIP  el quinto día hábil de cada mes.
El profesional responsable de la Subdirección de Planeación establece  un cronograma interno que contemple los hitos y las fechas claves para la publicación y y realiza seguimiento de manera mensual.
La linea estratégica de la subdirección de planeación realiza el cargue en plataformas en los términos establecidos.</t>
  </si>
  <si>
    <t xml:space="preserve">Documento del cronograma aprobado con fechas especificas y responsables asignados.
Formatos de seguimiento de PA y PI en sharepoint y página web.
Informes de seguimiento emitidos por el DAP
Soportes de reporte en DNP-PIIP
</t>
  </si>
  <si>
    <t>Problemas técnicos que impidan la carga o publicación oportuna en las plataformas.</t>
  </si>
  <si>
    <t>El profesional responsable de la Subdirección de Planeación reporta la inconsistencia presentada al momento del reporte de la información ante el DAP y el DNP por medio de la mesa de ayuda.</t>
  </si>
  <si>
    <t>Correctivo</t>
  </si>
  <si>
    <t>Correo electrónico de reporte de novedades al DAP
Solicitud a la mesa de ayuda del DNP.</t>
  </si>
  <si>
    <t>Los datos reportados en los indicadores del SMO son erroneos
Existen diferencias entre el dato reportado y las bases de datos que lo evidencian</t>
  </si>
  <si>
    <t>La linea estratégica de la subdirección de planeación verifica el cargue correcto de indicadores de resultado, producto y gestión. Así mismo verifica el dato reportado vs el análisis, que coincida con el soporte anexo (base de datos).
El profesional responsable del cargue del indicador en caso de cargue erróneo, solicita via correo electrónico al Subdirector de Planeación la autorización para ajustar la información donde se relaciona dato, análisis y archivo soporte. Una vez validada la información se solicita al profesional universitario encargado de los Sistemas de Gestión el cargue de la información corregida del indicador.</t>
  </si>
  <si>
    <t>Información de indicadores cargada en el SMO
Correo electrónicos con solicitud de modificación o de cargue</t>
  </si>
  <si>
    <t>GE18</t>
  </si>
  <si>
    <t>Posiblidad de afectación economica y reputacional de la Entidad</t>
  </si>
  <si>
    <t>Por costos adicionales relacionados con el diseño y construcción de vivienda que no se orienta a las características de la población objetivo.
Inconformidad por parte actores y grupos de interes derivada de la ausencia de información confiable y simétrica para la toma decisiones basadas en datos e información.</t>
  </si>
  <si>
    <t>Posiblidad de afectación economica y reputacional de la Entidad reflejada en costos adicionales relacionados con el diseño y construcción de vivienda que no se orienta a las características de la población objetivo asi como en la inconformidad de actores y grupos de interes derivada de la ausencia de información confiable y simétrica para la toma desiciones basadas en datos e información. Lo anterior, debido a que los registros administrativos relacionados con la misionalidad del Instituto tienen deficiencias en variables poblacionales, de identificación de la población y georeferenciación, asi como en la consolidación automatizada de la información.</t>
  </si>
  <si>
    <r>
      <rPr>
        <sz val="11"/>
        <rFont val="Arial Narrow"/>
        <family val="2"/>
      </rPr>
      <t>1. Sistema de Información Deficiente por mal diseño de bases de datos y/o registros administrativos, existencia de archivos de datos segregados, falta de interoperatividad entre módulos y desactualización de la información de los mismos. Asi mismo, la información no  esta organizada para generar consultas.</t>
    </r>
    <r>
      <rPr>
        <sz val="11"/>
        <color indexed="8"/>
        <rFont val="Arial Narrow"/>
        <family val="2"/>
      </rPr>
      <t xml:space="preserve">
</t>
    </r>
    <r>
      <rPr>
        <b/>
        <sz val="11"/>
        <color rgb="FF000000"/>
        <rFont val="Arial Narrow"/>
        <family val="2"/>
      </rPr>
      <t>Fallas en la información que se pueden generar con un sistema de información deficiente:</t>
    </r>
    <r>
      <rPr>
        <sz val="11"/>
        <color indexed="8"/>
        <rFont val="Arial Narrow"/>
        <family val="2"/>
      </rPr>
      <t xml:space="preserve">
</t>
    </r>
    <r>
      <rPr>
        <b/>
        <sz val="11"/>
        <color rgb="FF000000"/>
        <rFont val="Arial Narrow"/>
        <family val="2"/>
      </rPr>
      <t>Información Socioeconómica:</t>
    </r>
    <r>
      <rPr>
        <sz val="11"/>
        <color indexed="8"/>
        <rFont val="Arial Narrow"/>
        <family val="2"/>
      </rPr>
      <t xml:space="preserve"> No hay Información de beneficiarios completa ni de los integrantes de grupo familiar.
</t>
    </r>
    <r>
      <rPr>
        <b/>
        <sz val="11"/>
        <color rgb="FF000000"/>
        <rFont val="Arial Narrow"/>
        <family val="2"/>
      </rPr>
      <t>Información de predios:</t>
    </r>
    <r>
      <rPr>
        <sz val="11"/>
        <color indexed="8"/>
        <rFont val="Arial Narrow"/>
        <family val="2"/>
      </rPr>
      <t xml:space="preserve"> información incompleta con respecto a  propietarios, polígonos, georeferenciación, valores catastrales y saneamiento.
</t>
    </r>
    <r>
      <rPr>
        <b/>
        <sz val="11"/>
        <color rgb="FF000000"/>
        <rFont val="Arial Narrow"/>
        <family val="2"/>
      </rPr>
      <t>Información de los beneficios entregados</t>
    </r>
    <r>
      <rPr>
        <sz val="11"/>
        <color indexed="8"/>
        <rFont val="Arial Narrow"/>
        <family val="2"/>
      </rPr>
      <t xml:space="preserve">: El conteo de beneficios entregados se realiza por resoluciones y no por población atendida, lo que difuculta la consolidación y análisis de información estratégica para la toma de decisiones.
</t>
    </r>
  </si>
  <si>
    <t>Muy Alta</t>
  </si>
  <si>
    <r>
      <t>No existen medidas actuales.</t>
    </r>
    <r>
      <rPr>
        <sz val="11"/>
        <rFont val="Arial Narrow"/>
        <family val="2"/>
      </rPr>
      <t xml:space="preserve"> Ver columna AJ donde se identifican las actividades a desarrollar.</t>
    </r>
  </si>
  <si>
    <t>N/A</t>
  </si>
  <si>
    <r>
      <t xml:space="preserve">1. Diseñar e implementar la planeación estadística del ISVIMED. Producto: Documento de Planeación Estadística: Fecha: diciembre de 2026
2. Identificar los puntos de mejora que requiere las fuentes de información para el fortalecimiento de los registros administrativos. Producto: Diseño, ajuste y recopilación de registro administrativos. Fecha Límite:  diciembre de 2026 .
3. Desarrollar e implementar  la política de gestión de la información estadísitica del MIPG para generar información estadística confiable. Producto: Información centralizada en el SIFI. Estandarización de Consultas. Fecha Límite: diciembre de 2027 
</t>
    </r>
    <r>
      <rPr>
        <u val="double"/>
        <sz val="11"/>
        <rFont val="Arial Narrow"/>
        <family val="2"/>
      </rPr>
      <t xml:space="preserve">
</t>
    </r>
  </si>
  <si>
    <t>Riesgo Materializado. Durante el primer trimestre de 2026 se continúa trabajando en la implementación de acciones orientadas a su mitigación. En este sentido, bajo el liderazgo de la Subdirección de Planeación y con el apoyo del profesional de estadística, se viene estructurando la acción de mejora No. 151, la cual contempla el diseño y desarrollo integral de la política de gestión de la información estadística en el marco de MIPG.
En consecuencia, el seguimiento al riesgo se soporta en los avances registrados en esta acción de mejora, los cuales reflejan el trabajo adelantado por el equipo responsable. Esta información se encuentra disponible para consulta en el Sistema de Información del Instituto – SIFI, permitiendo evidenciar de manera clara el progreso en la gestión del riesgo y las acciones implementadas para su control.</t>
  </si>
  <si>
    <t>Las acciones realizadas del plan de trabajo se encuentran disponibles e la acción de mejora 151 en SIFI. La evidencia que se relaciona en tal acción de mejora esta disponible e el SharePoint de la subdirección de planeación: https://isvimedgovco.sharepoint.com/:f:/s/7Planeacion/IgCOp0pmT5VzS6Oo55LXH3s_AQEbqiALSwR6K7kr8aSe28U?e=wuEIlV</t>
  </si>
  <si>
    <t>2. No se hace cruce de la información de los registros administrativos con estadística distrital, departamental y nacional, relacionada con la vivienda y el hábitat; tal como el déficit habitacional, códigos de tratamiento urbanistico, suelos de protección y riesgo, caracterización de tipos de población, entre otros;  en cuanto a consulta y cruces de información.</t>
  </si>
  <si>
    <t>La Subdirección de Planeación utiliza las fuentes de información como: Encuesta de Calidad de Vida del Distrito de Medellín, SISBEN IV y del Departamento Administrativo Nacional de Estadística (DANE), las cuales se cruzan con las bases de datos de beneficiarios para establecer beneficios actuales y futuros en vivienda y habitat.
Profesional asignado valida la usabilidad e interoperatividad de cada una de la fuentes de información para los fines pertinentes del Instituto respecto a vivienda y habitat, lo cua lse realiza a través del Inventario de fuentes de información y auditoría de fuentes de información.</t>
  </si>
  <si>
    <t>detectivo</t>
  </si>
  <si>
    <t>manual</t>
  </si>
  <si>
    <t xml:space="preserve">Bases de datos de Encuesta de Calidad de Vida del Distrito de Medellín, SISBEN IV y del Departamento Administrativo Nacional de Estadística (DANE)
Inventario de fuentes de información
Códigos de procesamiento másivos y automatizados de la información
Auditoría de Fuentes de información
</t>
  </si>
  <si>
    <r>
      <rPr>
        <sz val="11"/>
        <rFont val="Arial Narrow"/>
        <family val="2"/>
      </rPr>
      <t xml:space="preserve">1. Desarrollar e implementar  la política de gestión de la información estadísitica del MIPG para generar información estadística confiable a través de los siguientes mecanismos de implementación: Planeación Estadística, Fortalecimiento de Registros Administrativos y Calidad Estadística.
Fecha límites: diciembre de 2027 
</t>
    </r>
    <r>
      <rPr>
        <u val="double"/>
        <sz val="11"/>
        <color theme="5" tint="0.39997558519241921"/>
        <rFont val="Arial Narrow"/>
        <family val="2"/>
      </rPr>
      <t xml:space="preserve">
</t>
    </r>
    <r>
      <rPr>
        <sz val="11"/>
        <rFont val="Arial Narrow"/>
        <family val="2"/>
      </rPr>
      <t>2. Elaborar e implementar el inventario de fuentes información. Fecha límite: Diciembre de 2027
3. Elaborar e implementar el documentos marco de auditoría de fuentes de información. Fecha límite: Diciembre de 2027</t>
    </r>
  </si>
  <si>
    <t>No existe medidas actuales, Ver columna AJ donde se identifican las actividades a desarrollar.</t>
  </si>
  <si>
    <t>1. Desarrollar la fichas metodologicas de las operaciones estadísticas realizadas de forma interna por el instituto. Fecha Límite: Diciembre de 2027.</t>
  </si>
  <si>
    <t>GE23</t>
  </si>
  <si>
    <t>Lograr que el 100% de los proyectos de inversión cumplan con los estándares técnicos establecidos por el Banco de Proyectos del Disstrito de medellín en cada vigencia.</t>
  </si>
  <si>
    <t>Planeación Estratégica</t>
  </si>
  <si>
    <t>Posibilidad de afectación económica y reputacional del Instituto</t>
  </si>
  <si>
    <t>reflejada en:
- la no asignación de recursos por parte del Distrito de Medellín.
- Incumplimiento de las metas del plan de desarrollo distrital.
- hallazgos de los entes de control.</t>
  </si>
  <si>
    <t>debido a que los proyectos de inversión no cumplan con los estándares técnicos establecidos por el Banco de Proyectos del Distrito de medellín.</t>
  </si>
  <si>
    <t>Posibilidad de afectación económica y reputacional del Instituto reflejada en la no asignación de recursos por parte del Distrito de Medellín, incumplimiento de las metas del plan de desarrollo distrital así como hallazgos de los entes de control. Lo anterior, debido a que los proyectos de inversión no cumplen con los estándares técnicos establecidos por el Banco de Proyectos del Distrito de medellín.</t>
  </si>
  <si>
    <t>Que no se tenga definido y aprobado el recurso para los proyectos</t>
  </si>
  <si>
    <t>Baja</t>
  </si>
  <si>
    <t>Catastrófico</t>
  </si>
  <si>
    <t>El profesional formulador de proyectos verifica que se cuente con el presupuesto aprobado por parte del Concejo Distrital, a partir del cual se identifican las asignaciones para los proyectos de inversión a formular.</t>
  </si>
  <si>
    <t>Ejecución Financiera Isvimed</t>
  </si>
  <si>
    <t>Se materializó el Riesgo?  (Ver evento potencial principal en Columna F. Relacionar detalles de la materialización - que, como, cuando, donde): Para el primer trimestre del 2026, no se materializó el riesgo, toda vez que los proyectos de inversión, cuentan con los recursos para su ejecución, asignados en el presupuesto para la vigencia 2026
Los Controles están bien  diseñados, se aplican de acuerdo al diseño  y son efectivos? (Ver controles en la columna P / Concluir frente a cada control). Los controles se encuentran bien diseñados, de acuerdo a las responsabilidades de Planeación estratégica.
Que acciones propones o se están llevando a cabo para gestionar el riesgo que se materializó? (Si no aplica colocar N/A). No aplica, toda vez que no se materializó ningún riesgo
Que acciones propones o se están llevando a cabo para fortalecer los controles? (En el caso de que tener Acciones de mejora / Acciones correctivas en proceso, relacionar el avance. Si tienes acciones específicas a desarrollar en la columna AJ, también relacionar el avance). No se tienen acciones correctivas vigentes.</t>
  </si>
  <si>
    <r>
      <rPr>
        <b/>
        <sz val="11"/>
        <color theme="1"/>
        <rFont val="Arial Narrow"/>
        <family val="2"/>
      </rPr>
      <t xml:space="preserve">EVIDENCIAS:
</t>
    </r>
    <r>
      <rPr>
        <sz val="11"/>
        <color theme="1"/>
        <rFont val="Arial Narrow"/>
        <family val="2"/>
      </rPr>
      <t>1. Presupuesto aprobado para la vigencia 2026.
https://isvimedgovco.sharepoint.com/:f:/s/7Planeacion/IgBcy8vpe2WnQrQjBVHBhc_GAT7UQd2dv8Z2wmzRvsZcPWw?e=klXT7X
2. Formulación de losproyectos de inversión.
https://isvimedgovco.sharepoint.com/:f:/s/7Planeacion/IgBcy8vpe2WnQrQjBVHBhc_GAT7UQd2dv8Z2wmzRvsZcPWw?e=klXT7X</t>
    </r>
  </si>
  <si>
    <t xml:space="preserve">
El profesional formulador de proyectos revisa que los proyectos estén formulados bajo la metodología definida por el DNP y el DAP, para lo cual se utilizan los formularios establecidos en cada plataforma.
Nota: Las plataformas no permiten pasar al siguiente formulario si no se cumplen los requisitos del formulario previo.</t>
  </si>
  <si>
    <t xml:space="preserve">Formatos Formulación de Proyectos - DAP. </t>
  </si>
  <si>
    <t>Desconocimiento en el manejo de plataformas del DNP y del Banco de Proyectos de Medellín</t>
  </si>
  <si>
    <t>El profesional formulador se capacita en el uso de estas plataformas del DNP y del Banco de Proyectos de Medellín</t>
  </si>
  <si>
    <t>Registro fotografico y contenido de las capacitaciones realizadas.</t>
  </si>
  <si>
    <t>No se tengan definida las variables para la formulación de  los proyectos tales como: la población objetivo, el alcance, los riesgos del proyecto, los aliados, las metas, entre otros.</t>
  </si>
  <si>
    <t>El profesional formulador verifica que las variables necesarias para la formulación del proyecto cumplan con la metodología del DNP / Banco de Proyectos de Medellín.</t>
  </si>
  <si>
    <t>Formato Anexo Presupuesto y metas
Anexo técnico del proyecto formulado
soportes formulación MGA (Excel y web)</t>
  </si>
  <si>
    <t>Personal no competente</t>
  </si>
  <si>
    <t>En el estudio previo del personal a contratar para efectos de la formulación de proyectos se establece el perfil en cuanto a idoneidad y experiencia.
El funcionario encargado de la contratación valida la idoneidad del personal a contratar con respecto al perfil establecido en el estudio previo, para lo cual utiliza el formato F-GJ-94 - CERTIFICADO DE ESTUDIO DE IDONEIDAD Y EXPERIENCIA PARA CONTRATOS DE PRESTACIÓN DE SERVICIOS PERSONALES</t>
  </si>
  <si>
    <t xml:space="preserve"> 
Estudio Previo con definición de perfil de doneidad y experiencia
F-GJ-94 - CERTIFICADO DE ESTUDIO DE IDONEIDAD Y EXPERIENCIA PARA CONTRATOS DE PRESTACIÓN DE SERVICIOS PERSONALES</t>
  </si>
  <si>
    <t>NA</t>
  </si>
  <si>
    <t>En el caso de que los proyectos formulados no sean presentados en los tiempos establecidos se realiza una solicitud por parte de la dirección del Isvimed ala Banco de Proyectos del Distrito donde se justifique la no presentación oportuna de los proyectos y se solicita la ampliación de plazo.</t>
  </si>
  <si>
    <t>Oficio de solucitud de ampliación plazo para presentación de proyectos.
Oficio de aceptación por parte del Banco de Proyectos del Distrito.</t>
  </si>
  <si>
    <t>GE24</t>
  </si>
  <si>
    <t>Lograr 400 Inquilinatos acompañados socialmente en el cuatrienio 2024-2027</t>
  </si>
  <si>
    <t>Planeación Social</t>
  </si>
  <si>
    <t>reflejada en:
- requerimientos por parte del Distrito / Concejo Distrital por incumplimiento de la meta de Plan de Desarrollo.
- Hallazgos por parte de los entes de control.</t>
  </si>
  <si>
    <t>debido a que no sea posible acompañar socialmente a los inquilinatos en el marco de la Política Publica de Inquilnatos</t>
  </si>
  <si>
    <t>Posibilidad de afectación reputacional del Instituto, reflejada en requerimientos por parte del Distrito / Concejo Distrital por incumplimiento de la meta de Plan de Desarrollo, asi como por  hallazgos por parte de los entes de control, debido a que no sea posible acompañar socialmente a los inquilinatos en el marco de la Política Publica de Inquilnatos.</t>
  </si>
  <si>
    <t>1. Que los dueños / Administradores de los inquilinatos no permiten el ingreso a los mismos de las dependencias del Distrito que hacen parte de la política pública de Inquilinatos. Asi mismo, el temor de las familias para que las dependencias conozcan su contexto y dinámicas familiares.</t>
  </si>
  <si>
    <t>El profesional asignado a Inquilinatos realiza reuniones con los dueños y administradores para socializar el objetivo macro del acompañamiento social a los inquilinatos, con el propósito de que los mismos lo socialicen a las familias.</t>
  </si>
  <si>
    <t>Registro de asistencia
Acta de reunión
Registro Fotográfico.</t>
  </si>
  <si>
    <t>Se materializó el Riesgo?  (Ver evento potencial principal en Columna F. Relacionar detalles de la materialización - que, como, cuando, donde):    No se materializa el riesgo. Tanto el evento potencial principal como los intermedios (eventos de causas) continuan vigentes, de acuerdo con el analisis del contexto.
Los Controles están bien  diseñados, se aplican de acuerdo al diseño  y son efectivos? (Ver controles en la columna P / Concluir frente a cada control):     Los controles estan adecuadamente diseñados y se aplican correctamente con relación a los eventos de causa 1-2 y 3.:  No se materializa, toda vez que se evidencia cumplimiento de los proyectos y acciones de la política pública de inquilinatos durante el trimestre. Como el cumplimiento de la  Mesa de trabajo para los Inquilinatos de Medellín, la realización de articulación con las dependencias y entidades del conglomerado público para llevar la oferta institucional a la población habitante de inquilinatos, entre otros.
Que acciones propones o se están llevando a cabo para gestionar el riesgo que se materializó? (Si no aplica colocar N/A):   No son necesarias debido a que los riesgos no se materializaron. N/A
Que acciones propones o se están llevando a cabo para fortalecer los controles? (En el caso de que tener Acciones de mejora / Acciones correctivas en proceso, relacionar el avance. Si tienes acciones específicas a desarrollar en la columna AJ, también relacionar el avance):   No son necesarias debido a que los riesgos no se materializaron y  no se cuenta con acciones en la columna AJ de esta Matriz.</t>
  </si>
  <si>
    <t>Evidencias: https://isvimedgovco.sharepoint.com/:b:/s/7Planeacion-Pla_Social/IQBJWo0znmbdQ64c8W_ft39qAfxna6l8-icq6462Jq7IwX8?e=hMf6Oe (Mesa de Trabajo para los Inquilinatos de Medellín) https://isvimedgovco.sharepoint.com/:x:/s/7Planeacion-Pla_Social/IQBpAfkwN6xcS5b-JkaXljwPAYPDK5uzpClcvYpXJsdMUDU?e=2RO7fJ (Plan Anual de Adquisiciones).</t>
  </si>
  <si>
    <t>2. Por dinámicas de seguridad y convivencia en los territorios que impiden el acceso para el acompañamiento social (bandas delincuenciales)</t>
  </si>
  <si>
    <t>2.1</t>
  </si>
  <si>
    <t>El profesional asignado a Inquilinatos gestiona la articulación con los líderes sociales de los sectores donde se presentan problemáticas de seguridad y convivencia para la socialización del acompañamiento a las bandas delincuenciales.</t>
  </si>
  <si>
    <t>Sin Registro</t>
  </si>
  <si>
    <t>2.2</t>
  </si>
  <si>
    <t>El profesional asignado a Inquilinatos gestiona con los organismos de seguridad el acompañamiento a territorio para realizar las actividades de acompañamiento social. Este acompañamiento consiste de recorridos más frecuentes por parte de la fuerza pública pero en el normal desarrollo de sus funciones.</t>
  </si>
  <si>
    <t>3. Falta de recursos humanos para desarrollar las acciones de acompañamiento social a cargo del Isvimed.</t>
  </si>
  <si>
    <t>El Subdirector de Planeación identifica las necesidades de recursos para el desarrollo de las acciones deacompañamiento social a cargo de isvimed en relación a la política pública de inquilinatos para cada vigencia y las somete a aprobación por parte de la Dirección, para su posterior inclusión en el presupuesto anual de cada vigencia y en el plan anual de adquisiciones.
El subdirector de Planeación revisa periódicamente el cumplimiento de las contrataciones establecidas en el Plan Anual de Adquisiciones.</t>
  </si>
  <si>
    <t>Formato de solicitud de necesidades
Plan de Anual de Adquisiciones y evidencias de ejecución</t>
  </si>
  <si>
    <t>GE25</t>
  </si>
  <si>
    <t>Aumentar a 8 el # de dependencias que reportan avance en el  cumplimiento de actividades del Plan de Trabajo de la Política Publica de Inquilinatos en la vigencia 2025</t>
  </si>
  <si>
    <t>por requerimientos del Concejo de Medellín y de los diferentes entes de control por deficiente implementación de la Política Pública para los inquilinatos.
Por incumplimiento de metas de Plan de Desarrollo relacionadas con la  Política Pública para los inquilinatos.
Por PQRSD y manifestaciones de inconformidad por parte de los diferentes actores del contexto de inquilinatos a traves de diferentes espacios (medios comunicación, redes sociales, mesas de trabajo, recorridos de campo, etc), con respecto a solicitudes que no son correspondidas.
Por hallazgo de los entes de control</t>
  </si>
  <si>
    <t>debido a que las dependencias que hacen parte de la implementación de la política Pública de Inquilinatos según normatividad vigente no se vinculen al Plan de Trabajo de la misma.</t>
  </si>
  <si>
    <t>Posibilidad de afectación reputacional del Instituto reflejada en requerimientos del Concejo de Medellín y de los diferentes entes de control por deficiente implementación de la Política Pública para los inquilinatos, por incumplimiento de metas de Plan de Desarrollo relacionadas con la  Política Pública para los inquilinatos y así omo por PQRSD, manifestaciones de inconformidad por parte de los diferentes actores del contexto de inquilinatos a traves de diferentes espacios (medios comunicación, redes sociales, mesas de trabajo, recorridos de campo, etc), con respecto a solicitudes que no son correspondidas asi como en hallazgos de los entes de control; todo lo anterior debido a que las dependencias que hacen parte de la implmentación de la política Pública de Inquilinatos según normatividad vigente no se vinculen al Plan de Trabajo de la misma.</t>
  </si>
  <si>
    <t>1. Que las dependencias no muestren interés por realizar las actividades contempladas en la Política Pública de inquilinatos</t>
  </si>
  <si>
    <t>El profesional asignado realiza reuniones con cada una de las dependencias para la revisión de las actividades de la Política Pública.</t>
  </si>
  <si>
    <t>Actas de reunión
Listados de asistencia.</t>
  </si>
  <si>
    <t>Se materializó el Riesgo?  (Ver evento potencial principal en Columna F. Relacionar detalles de la materialización - que, como, cuando, donde):    No se materializa toda vez que se evidencia el cumplimiento de las acciones y proyectos de la polítics pública de Inquilinatos  durante el trimestre. Se realiza articulación  con las entidades y dependencias del distrito para el acompañamiento social a la población habitante de Inquilinatos (METIM).
Los Controles están bien  diseñados, se aplican de acuerdo al diseño  y son efectivos? (Ver controles en la columna P / Concluir frente a cada control):  Los controles estan adecuadamente diseñados y se aplican correctamente con relación a los eventos de causa: Control 1: se realiza reunión de la METIM en la cual asisten las dependencias vinculada mediante el Decreto 0145 de 2019, asistendo a esta 17 entidades y vinculandolas a las acciones de acompañamiento social de los inquilinatos.  Control 2: la vinculación se hace por medio de la comisión de Garantia de derechos a los habitantes de inquilinatos, la cual se conforma con los delegados asignados a la METIM y el plan de trabajo se llevará a cabo desde el mes de abril.
Que acciones propones o se están llevando a cabo para gestionar el riesgo que se materializó? (Si no aplica colocar N/A): No son necesarias debido a que los riesgos no se materializaron. N/A
Que acciones propones o se están llevando a cabo para fortalecer los controles? (En el caso de que tener Acciones de mejora / Acciones correctivas en proceso, relacionar el avance. Si tienes acciones específicas a desarrollar en la columna AJ, también relacionar el avance):   No son necesarias debido a que los riesgos no se materializaron y  no se cuenta con acciones en la columna AJ de esta Matriz.</t>
  </si>
  <si>
    <t>Evidencias: https://isvimedgovco.sharepoint.com/:b:/s/7Planeacion-Pla_Social/IQDxeT0xRSEmTIeS7o8wQhHVAZuMXfrz2A5oF-mGN9n9KGQ?e=l0h7uk (Reunión de Articulaciión con Unidad Familia) https://isvimedgovco.sharepoint.com/:x:/s/7Planeacion-Pla_Social/IQD8XPnCc17VTrYqdVKSWZjfAVtnPwQN7UK8ZFGUFrNFOyA?e=Sl2w9d (Cronograma METIM y comisiones) https://isvimedgovco.sharepoint.com/:b:/s/7Planeacion-Pla_Social/IQBJWo0znmbdQ64c8W_ft39qAfxna6l8-icq6462Jq7IwX8?e=p9KZLk (METIM)</t>
  </si>
  <si>
    <t>2. Que las dependencias no tengan la capacidad instalada y económica para el cumplimiento de las actividades.</t>
  </si>
  <si>
    <t>Actas de reunión.</t>
  </si>
  <si>
    <t>Confiabilidad y relevancia de la Información Financiera y No Financiera (Modelo Interno de Control Interno)</t>
  </si>
  <si>
    <t>Confiabilidad y relevancia de la Información no financiera relacionada con la vivienda y el hábitat.</t>
  </si>
  <si>
    <t>Por costos adicionales relacionados con el diseño y construcción de vivienda que no se orienta a las características de la población objetivo.
Por  recursos adicionales que deben ser desembolsados a través del SDV para contribuir con el cierre financiero de las familias, al no contar con información para gestionar la concurrencia de otras fuentes de financiación.
Por requerimientos de los entes de control y el Consejo Distrital por el incumplimiento de la metas del Plan de Desarrollo asi como de los objetivos institucionales.</t>
  </si>
  <si>
    <r>
      <t xml:space="preserve">debido a la existencia de información no confiable y/o relevante para la toma de decisiones relacionadas con la vivienda y el habitat.
</t>
    </r>
    <r>
      <rPr>
        <sz val="11"/>
        <color rgb="FFFF0000"/>
        <rFont val="Arial Narrow"/>
        <family val="2"/>
      </rPr>
      <t>Riesgo recomendado Furag</t>
    </r>
  </si>
  <si>
    <t>Posiblidad de afectación economica y reputacional de la Entidad reflejada en costos adicionales relacionados con el diseño y construcción de vivienda que no se orienta a las características de la población objetivo, asi como por  recursos adicionales que deben ser desembolsados a través del SDV para contribuir con el cierre financiero de las familias, al no contar con información para gestionar la concurrencia de otras fuentes de financiación, y por requerimientos de los entes de control y el Consejo Distrital por el incumplimiento de la metas del Plan de Desarrollo y de los objetivos institucionales. Lo anterior, debido a la existencia de información no confiable y/o relevante para la toma de decisiones relacionadas con la vivienda y el habitat.</t>
  </si>
  <si>
    <r>
      <t xml:space="preserve">1. Sistema de Información Deficiente por mal diseño de bases de datos, existencia de archivos de datos segregados y falta de operatividad entre módulos. Asi mismo, no está diseñado para generar consultas.
</t>
    </r>
    <r>
      <rPr>
        <b/>
        <sz val="11"/>
        <color rgb="FF000000"/>
        <rFont val="Arial Narrow"/>
        <family val="2"/>
      </rPr>
      <t>Fallas en la información que se pueden generar con un sistema de información deficiente:</t>
    </r>
    <r>
      <rPr>
        <sz val="11"/>
        <color indexed="8"/>
        <rFont val="Arial Narrow"/>
        <family val="2"/>
      </rPr>
      <t xml:space="preserve">
</t>
    </r>
    <r>
      <rPr>
        <b/>
        <sz val="11"/>
        <color rgb="FF000000"/>
        <rFont val="Arial Narrow"/>
        <family val="2"/>
      </rPr>
      <t>Información Socioeconómica:</t>
    </r>
    <r>
      <rPr>
        <sz val="11"/>
        <color indexed="8"/>
        <rFont val="Arial Narrow"/>
        <family val="2"/>
      </rPr>
      <t xml:space="preserve"> No hay Información de beneficiarios completa ni de los integrantes de grupo familiar.
</t>
    </r>
    <r>
      <rPr>
        <b/>
        <sz val="11"/>
        <color rgb="FF000000"/>
        <rFont val="Arial Narrow"/>
        <family val="2"/>
      </rPr>
      <t>Información de predios:</t>
    </r>
    <r>
      <rPr>
        <sz val="11"/>
        <color indexed="8"/>
        <rFont val="Arial Narrow"/>
        <family val="2"/>
      </rPr>
      <t xml:space="preserve"> información incompleta con respecto a  propietarios, polígonos, georeferenciación, valores catastrales y saneamiento.
</t>
    </r>
    <r>
      <rPr>
        <b/>
        <sz val="11"/>
        <color rgb="FF000000"/>
        <rFont val="Arial Narrow"/>
        <family val="2"/>
      </rPr>
      <t>Información de los beneficios entregados</t>
    </r>
    <r>
      <rPr>
        <sz val="11"/>
        <color indexed="8"/>
        <rFont val="Arial Narrow"/>
        <family val="2"/>
      </rPr>
      <t xml:space="preserve">: El conteo de beneficios entregados se realiza por resoluciones y no por población atendida, lo que difuculta la consolidación y análisis de información estratégica para la toma de decisiones.
</t>
    </r>
  </si>
  <si>
    <t>Riesgo Estratégico</t>
  </si>
  <si>
    <t xml:space="preserve">No existen medidas actuales. Ver columna AJ donde se identifican las actividades a desarrollar establecer controles. </t>
  </si>
  <si>
    <t>1. Centralizar con TI las bases de datos segregadas del Instituto relacionadas con vivienda y habitat. Esto con el fin de diseñar una base de datos interoperativa que capte , transforme y genere información confiable y relevante. Fecha límite: junio de 2023.
Identificar las características de la información para el diseño de las bases de datos. Dic 2023
Modelar la base de datos, Dic 2023
Validar el alcance tecnológico requerido para el sistema de información. Dic 2023
Avanzar en el desarrollo de la política de gestión de la información estadísitica del MIPG para generar información estratégica cofiiable y relevante para la toma de decisiones. Para este efecto se debe conformar el centro de analítica y contratar profesionales especalizados en analítica de información. Dic 2023</t>
  </si>
  <si>
    <t>2. No se hace uso de la información estaídística local y nacional, relacionada  con el déficit habitacional y caracterización de tipos de población, en cuanto a consulta y cruces de información.</t>
  </si>
  <si>
    <t>la Subdirección de Planeación utiliza las bases de datos de: encuesta de calidad del Distrito de Medellín, Sisben 3 y 4 y el Sistema Estadístico nacional SEN del DANE, las cuales se cruzan con las bases de datos de beneficiarios para establecer beneficios actuales y futuros en vivienda y habitat.
La Subdirección de Planeación en cabeza del centro de analítica, parametriza y automatiza las consultas de las bases de datos para establecer criterios estándar de consulta.</t>
  </si>
  <si>
    <t>Automático</t>
  </si>
  <si>
    <t>Reportes de información
Respuestas a requrimientos de información de la ciudadanía y otros grupos de intereses</t>
  </si>
  <si>
    <t>2.Implementar la política de Gestión de la Información Estadísitica del MIPG en un 90%. Fecha límite: noviembre de 2023</t>
  </si>
  <si>
    <t>3. Deficiencias en el diseño y análisis de indicadores.</t>
  </si>
  <si>
    <t>La subdirección de Planeación valida el diseño del indicador y las fuentes de información para identificar donde deben reliazarse ajustes.</t>
  </si>
  <si>
    <t>Informe Diagnóstico de Indicadores de Gestión</t>
  </si>
  <si>
    <t>Objetivo Estatégico:
Disminución en el déficit cuantitativo y cualitativo habitacional.</t>
  </si>
  <si>
    <t>Proceso Gestión Estratégica</t>
  </si>
  <si>
    <t>Posibilidad de afectación economica y reputacional</t>
  </si>
  <si>
    <t>Por el pago de demandas interpuestas por los beneficiarios de los subsidios distritales de vivienda
Por requerimientos del Distrito, el Consejo Distrital y/o entes de control derivado del
incumplimiento de metas de Plan de Desarrollo.
Por requerimientos por parte de la comunidad en relación con el incumplimiento en la prestación de serviciós del Instituto.
Por requerimientos por parte de los contratistas en relación con el incumpliiento de las obligaciones contractuales a cargo del Instituto.</t>
  </si>
  <si>
    <t>debido a la reducción del presupuesto inicialmente asignado y/o una congelación o no giro de la transferencias distritales para los proyectos de inversión del Instituto</t>
  </si>
  <si>
    <t>Posibilidad de afectación economica y reputacional del Instituto reflejada en:
1. el pago de demandas interpuestas por los beneficiarios de los subsidios distritales de vivienda, 2. requerimientos del Distrito, el Consejo Distrital y/o entes de control derivado del
incumplimiento de metas de Plan de Desarrollo, 3. requerimientos por parte de la comunidad en relación con el incumplimiento en la prestación de serviciós del Instituto.4. requerimientos por parte de los contratistas en relación con el incumpliiento de las obligaciones contractuales a cargo del Instituto.
Lo anterior, debido a la reducción del presupuesto inicialmente asignado y/o una congelación o no giro de la transferencias distritales para los proyectos de inversión del Instituto.</t>
  </si>
  <si>
    <t>1.Por baja ejecución presupuestal de los proyectos de inversión a cargo del Instituto
1.1 Por imprevistos técnicos / sociales que impacta en la viabilidad de los proyectos 
(proyectos en ejecución y nuevos proyectos)</t>
  </si>
  <si>
    <t>Extremo</t>
  </si>
  <si>
    <t>El equipo directivo realiza el seguimiento a los proyectos en ejecución y gestiona las soluciones técnicas y legales para dar viabilidad a aquellos que presentan problemas, lo cual se realiza a través de la mesa de seguimiento de proyectos.
Para nuevos proyectos se debe dar cumplimiento al manual de estudios y diseños, la matriz de seguimiento de proyectos y la lista de chequeo de prefactibilidad de los proyectos, lo cual es gestionado y validado por el laboratorio de vivienda - Havilab</t>
  </si>
  <si>
    <t>40%</t>
  </si>
  <si>
    <t>Listado de asistencia Mesa de Seguimiento de Proyectos
Tareas asignadas en microsoft Planner
Expediente de proyectos en donde se evidencia cumplimiento al manual de estudios y diseños, matriz de seguimiento de poryectos y lista de chequeo de prefactibilidad</t>
  </si>
  <si>
    <t>Muy Baja</t>
  </si>
  <si>
    <t>1.Por baja ejecución presupuestal de los proyectos de inversión a cargo del Instituto
1.2. Falta de seguimiento al POAI anual por parte de la Subdirección de Planeación</t>
  </si>
  <si>
    <t>El subdirector de Planeación realiza seguimiento al POAI de cada vigencia  a los proyectos de inversión del Instituto, en donde se verifica la ejecución presupuestal de dichos proyectos vs metas. El seguimiento se realiza de manera mensual y asiste el equipo directivo en pleno.</t>
  </si>
  <si>
    <t>30%</t>
  </si>
  <si>
    <t>Registro de asistencia
Acta de reunión de seguimiento al POAI</t>
  </si>
  <si>
    <t>2. Decisiones técnicas y presupuestales por parte del Distrito</t>
  </si>
  <si>
    <t>No existen medidas de control, toda vez que el evento intermedio 2 no es de gobernabilidad de la entidad.</t>
  </si>
  <si>
    <t/>
  </si>
  <si>
    <t>GE26</t>
  </si>
  <si>
    <t>Realizar 2 sesiones del Consejo Consultivo en cada vigencia</t>
  </si>
  <si>
    <t>por requerimientos del Concejo de Medellín y de los diferentes entes de control por deficiente implementación del Plan Estratégico Habitacional de Medellín PEHMED 20-30.
Por incumplimiento de metas de Plan de Desarrollo relacionadas con el Consejo Consultivo Distrital de la Política Habitacional
Por PQRSD y manifestaciones de inconformidad por parte de los diferentes actores del contexto de vivienda y habitat a traves de diferentes espacios (medios comunicación, redes sociales, mesas de trabajo, recorridos de campo, etc), con respecto a solicitudes que no son correspondidas.
Hallazgos por parte de los entes de control.</t>
  </si>
  <si>
    <t>debido a que no sea posible realizar las sesiones del Consejo Consultivo de acuerdo con con la meta del Plan de Desarrollo Distrital vigente.</t>
  </si>
  <si>
    <t>Posibilidad de afectación reputacional del Instituto por requerimientos del Concejo de Medellín y de los diferentes entes de control por deficiente implementación del Plan Estratégico Habitacional de Medellín PEHMED 20-30, al igual que por incumplimiento de metas de Plan de Desarrollo relacionadas con el Consejo Consultivo Distrital de la Política Habitacional, por PQRSD y manifestaciones de inconformidad por parte de los diferentes actores del contexto de vivienda y habitat a traves de diferentes espacios (medios comunicación, redes sociales, mesas de trabajo, recorridos de campo, etc), con respecto a solicitudes que no son correspondidas. y que esto derive hallazgos por parte de los entes de control. Lo anterior, debido a que no sea posible realizar las sesiones del Consejo Consultivo de acuerdo con con la meta del Plan de Desarrollo Distrital vigente.</t>
  </si>
  <si>
    <t>1. Que las dependencias y representantes no cumplan con el cronograma de las reuniones de las instancias del Consejo Consultivo.</t>
  </si>
  <si>
    <t>El profesional asignado realiza la invitación a las reuniones de las instancias del Consejo Consultivo de manera personalizada por medio del calendario.
El profesional asignado valida que los actores que conforman las instancias del Consejo Consultivo asistan a las reuniones convocadas.</t>
  </si>
  <si>
    <t>Evidencias de la convovatoria a las reuniones del Consejo Consultivo.
Acta de reunion de Consejo Consultivo.
Listado de asistencia.</t>
  </si>
  <si>
    <t>Se materializó el Riesgo?  (Ver evento potencial principal en Columna F. Relacionar detalles de la materialización - que, como, cuando, donde): no se materializa el evento principal ya que el Consejo Consultivo Distrital de Política Habitacional se lleva a cabo con una periodicidad semestral; por lo tanto, la próxima sesión está programada para el mes de junio.
Los Controles están bien  diseñados, se aplican de acuerdo al diseño  y son efectivos? (Ver controles en la columna P / Concluir frente a cada control): los controles están adecuadamente diseñados y se aplican correctamente con realción a los eventos de causa 1 y 2.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la Resolución 283 de 2020 está en proceso de modificación con el objetivo de generar herramientas la ISVIMED para mantener el funcionamiento de las ventiun (21) Mesas Comunales y Corregimentales de Vivienda y Hábitat.</t>
  </si>
  <si>
    <t>Evidencia control 1: https://isvimedgovco.sharepoint.com/:x:/s/7Planeacion-Pla_Social/IQDYK7Om5L0CQLHjsp3hMdaiAWCNksxi__hUrKIsj_VcgOM?e=hm5ak5 (cronograma línea social - Subdirección de Planeación)                                                                                                                                                                                                                                               Evidencia control 2: https://isvimedgovco.sharepoint.com/:f:/s/7Planeacion-Pla_Social/IgC8afl6dvzeRLAq_DZCa06ZAfa9GELbv9tI6y1G18VSmMU?e=k4Tflc (Propuesta de cambios para la Resolución 283 de 2020)</t>
  </si>
  <si>
    <t>2. Que las mesas comunales y corregimentales de vivienda no se reunen de manera periódica y/o no discuten sobre las problemáticas de vivienda y habitat relacionadas con  PEHMED 2030.</t>
  </si>
  <si>
    <t>El profesional asignado realiza reuniones con las mesas comunales y corregimentales para velar por la activación y funcionamiento de estas.
El profesional asignado verifica que estas instancias se estén reuniendo de manera periódica, asi mismo verifica que los contenidos de las actas de las reuniones incluyan las discusiones sobre las problemáticas de vivienda y habitat relacionadas con el  PEHMED 2030.</t>
  </si>
  <si>
    <t>Actas de reunión.
Listados de asistencia.</t>
  </si>
  <si>
    <t>GE27</t>
  </si>
  <si>
    <t xml:space="preserve">Lograr que los predios con potencial desarrollo de proyectos de vivienda VIP y/o VIS asignados a la linea Urbana sean viabilizados </t>
  </si>
  <si>
    <t>Línea Urbana</t>
  </si>
  <si>
    <r>
      <t xml:space="preserve">Posibilidad de afectación reputacional </t>
    </r>
    <r>
      <rPr>
        <sz val="11"/>
        <color rgb="FFFF0000"/>
        <rFont val="Arial Narrow"/>
        <family val="2"/>
      </rPr>
      <t xml:space="preserve"> </t>
    </r>
    <r>
      <rPr>
        <sz val="11"/>
        <color theme="1"/>
        <rFont val="Arial Narrow"/>
        <family val="2"/>
      </rPr>
      <t>del Instituto</t>
    </r>
  </si>
  <si>
    <t>reflejada en:
- Requerimientos por parte del Distrito / Concejo Distrital por incumplimiento de metas de Plan de Desarrollo.
- Hallazgos por parte de los entes de control.
- Pqrs y manifestaciones de inconformidad a través de distintos medios que derivan en la perdida de credibilidad en el Instituto.</t>
  </si>
  <si>
    <t>debido a que desde el estudio de viabilidad preliminar hasta finalizar la etapa de estructuración, se inviabilicen los predios con potencial de desarrollo de proyectos de vivienda VIP y/o VIS asignados.</t>
  </si>
  <si>
    <t>Posibilidad de afectación reputacional y económica del Instituto reflejada en requerimientos por parte del Distrito / Concejo Distrital por incumplimiento de metas de Plan de Desarrollo, hallazgos por parte de los entes de control, pqrs y manifestaciones de inconformidad a través de distintos medios que derivan en la perdida de credibilidad en el Instituto, así como posible pérdida de recursos ocasionada por dar continuidad a etapas de la prefactibilidad y estructuración, con resultados que indican que el proyecto no es viable. Lo anterior, debido a que desde el estudio de viabilidad preliminar hasta finalizar la etapa de estructuración, se inviabilicen los predios con potencial de desarrollo de proyectos de vivienda VIP y/o VIS asignados.</t>
  </si>
  <si>
    <t>1. Incompatibilidad con el POT o normas urbanísticas locales. El predio no cumple con los usos del suelo permitidos o condiciones técnicas requeridas por el POT vigente lo cual puede ser identificado desde el estudio de viabilidad preliminar hasta la expedición de las licencias o permisos correspondientes.</t>
  </si>
  <si>
    <t>"Se materializó el Riesgo?  (Ver evento potencial principal en Columna F. Relacionar detalles de la materialización - que, como, cuando, donde):
NO SE HA MATERIALIZADO
Los Controles están bien  diseñados, se aplican de acuerdo al diseño  y son efectivos? (Ver controles en la columna P / Concluir frente a cada control):
1.1: El control está bien diseñado, al establecer una validación normativa inicial del predio como criterio de viabilidad. Se aplica conforme a su diseño, dado que hace parte del análisis técnico del proyecto. Es efectivo, ya que permite descartar oportunamente predios que no cumplen condiciones.
1.2:El control está bien diseñado, al incorporar validación con entidad competente y lineamientos del ISVIMED. Se aplica de acuerdo con su diseño, mediante consulta y revisión técnica. Es efectivo, al asegurar alineación normativa y técnica desde etapas tempranas.
2.1:El control está bien diseñado, al contemplar validación ante autoridad ambiental. Se aplica conforme a su diseño, mediante solicitud de información oficial. Es efectivo, al identificar restricciones ambientales que puedan inviabilizar el proyecto.
2.2:El control está bien diseñado, al incluir seguimiento a estudios ambientales requeridos. Se aplica de acuerdo con su diseño, mediante cronogramas y verificación de entregables. Es efectivo, ya que permite asegurar el cumplimiento de requisitos ambientales y la completitud de la información.
3:El control está bien diseñado, al contemplar revisión jurídica integral del predio. Se aplica conforme a su diseño, con validación documental y apoyo jurídico. Es efectivo, al identificar riesgos legales y condiciones de saneamiento oportunamente.
4:El control está bien diseñado, al complementar la revisión documental con verificación física y catastral. Se aplica de acuerdo con su diseño, mediante inspección y validación jurídica. Es efectivo, al detectar posibles inconsistencias no registradas que puedan afectar la viabilidad del proyecto.
5.1:El control está bien diseñado, al evaluar condiciones técnicas, topográficas y de servicios públicos. Se aplica conforme a su diseño, mediante revisión de información técnica y consulta con operadores. Es efectivo, al permitir la toma de decisiones informadas sobre viabilidad o necesidad de inversiones adicionales.
5.2: El control está bien diseñado, al garantizar la contratación y validación de estudios técnicos. Se aplica de acuerdo con su diseño, mediante seguimiento y verificación frente a lineamientos del ISVIMED. Es efectivo, al asegurar la calidad y completitud de los insumos técnicos del proyecto.
6.1: El control está bien diseñado, al incorporar análisis social y de actores desde etapa temprana. Se aplica conforme a su diseño, mediante elaboración de diagnóstico y matriz de actores. Es efectivo, al anticipar riesgos sociales que puedan afectar la ejecución del proyecto.
6.2: El control está bien diseñado, al promover la participación ciudadana y socialización temprana. Se aplica de acuerdo con su diseño, mediante coordinación de actividades con comunidades. Es efectivo, al mitigar conflictos sociales y facilitar la aceptación del proyecto.
7: El control está bien diseñado, al exigir estructuración financiera basada en insumos técnicos reales. Se aplica conforme a su diseño, mediante revisión y ajuste de costos. Es efectivo, al asegurar presupuestos completos y realistas para la toma de decisiones.
8: El control está bien diseñado, al incorporar análisis de mercado como criterio de viabilidad. Se aplica de acuerdo con su diseño, mediante evaluación de condiciones del sector. Es efectivo, al evitar proyectos con baja competitividad o inviables comercialmente.
9: El control está bien diseñado, al establecer coordinación interinstitucional para permisos y licencias. Se aplica conforme a su diseño, mediante mesas técnicas y seguimiento de requisitos. Es efectivo, al asegurar cumplimiento oportuno de trámites y reducir riesgos en la estructuración.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N/A</t>
  </si>
  <si>
    <t>https://isvimedgovco.sharepoint.com/:f:/s/7Planeacion-Pla_Urbanistica/IgCtGLZz2YoaT5txOhoTRtQyAXPOw35NSBTNBdSgU5OTbGw?e=omw6gG</t>
  </si>
  <si>
    <t>Comunicación oficial recibida por parte del DAP
Ficha de viabilidad normativa en etapa de estructuración de lotes y proyectos</t>
  </si>
  <si>
    <t>2. Restricciones ambientales no identificadas. Áreas de protección ambiental o zonas de riesgo (inundación, remoción, etc.) no detectadas.</t>
  </si>
  <si>
    <t>Cronograma de estudios y entregables técnicos
Minutas de contratos</t>
  </si>
  <si>
    <t>3. Saneamiento jurídico incompleto del predio. El predio presenta conflictos de propiedad, limitaciones o embargos.</t>
  </si>
  <si>
    <t>El profesional del equipo de Línea Urbana encargado del proyecto, revisa los documentos de tenencia del predio con los que se cuenta y el estado de los mismos en el VUR, y con el apoyo de un profesional jurídico designado, realiza diagnóstico jurídico inicial para determinar que el predio este libre de gravámenes o que si los tiene, puedan ser saneados dentro de los tiempos esperados para desarrollar el proyecto. Así mismo se verifica que las areas dle predio coincidan en todos los documentos en donde se establece la propiedad del predio.</t>
  </si>
  <si>
    <t>Estudio de títulos
Ficha de viabilidad normativa en prefactibilidad de lotes y proyectos
Certificado de libertad y tradición
Matrícula Inmobiliaria
Revisión de folios de las escrituras del predio.</t>
  </si>
  <si>
    <t>4. Superposición de derechos de terceros. Presencia de posesiones, ocupaciones o servidumbres no registradas.</t>
  </si>
  <si>
    <t>El profesional del equipo de Línea Urbana encargado del proyecto, realiza inspección física y verificación catastral con el apoyo de un profesional jurídico designado para verificar que el predio no tenga posesiones, ocupaciones o servidumbres no registradas, que dependiendo de las características podrán inviabilizar o establecer una ruta para el saneamiento del predio.</t>
  </si>
  <si>
    <t>Archivo fotográfico de visita al predio
Ficha de viabilidad normativa en prefactibilidad de lotes y proyectos</t>
  </si>
  <si>
    <t>5. El predio no cumple condiciones de accesibilidad, topografía, estudios de suelos o servicios públicos para el desarrollo del proyecto.  Lotes en zonas no urbanizadas, sin redes de servicios o con pendiente excesiva.</t>
  </si>
  <si>
    <t xml:space="preserve">Lista de verificación de estudios y diseños </t>
  </si>
  <si>
    <t>6. Conflictos sociales o resistencia de comunidades aledañas. Oposición comunitaria por desinformación o impactos percibidos.</t>
  </si>
  <si>
    <t>Listado de asistencia de las Jornadas de socialización y presentaciones realizadas
Ficha de viabilidad normativa en prefactibilidad de lotes y proyectos</t>
  </si>
  <si>
    <t>7. Presupuesto estructurado con información primaria incompleta. Cálculos preliminares sin consolidación de costos por componente técnico, ambiental y social.</t>
  </si>
  <si>
    <t xml:space="preserve">El profesional financiero del equipo de Línea Urbana encargado del proyecto, revisa que los costos sean estructurados con insumos técnicos reales, completos e incluyan imprevistos, en caso tal de faltar algún componente se solicitara al desarrollador o al encargado, de incluirlos y ajustar el presupuesto. </t>
  </si>
  <si>
    <t>Presupuesto validado con interventoría (si aplica)
Presupuesto validado por equipo financiero de ISVIMED (si aplica)</t>
  </si>
  <si>
    <t>8. Dificultar para lograr el cierre financiero esperado del proyecto.</t>
  </si>
  <si>
    <t>El profesional del equipo de Línea Urbana encargado del proyecto, realiza un análisis de mercado preliminar de la zona para determinar que los valores por los que se espera ofertar el proyecto estén de acuerdo al mercado inmobiliario del sector, en caso de que los valores del proyecto sean superiores a los de la zona, se podría tomar la decisión de inviabilizar el proyecto.</t>
  </si>
  <si>
    <t>Documento con análisis de mercado preliminar
Ficha de viabilidad normativa en prefactibilidad de lotes y proyectos</t>
  </si>
  <si>
    <t>9. Falta de articulación con entidades responsables de licenciamiento. 	No concertar la información necesaria para la obtención de la licencia o permiso con curadurías, planeación, EPM, entre otros, desde el inicio del proyecto hasta el final de la estructuración.</t>
  </si>
  <si>
    <t>El profesional del equipo de Línea Urbana encargado del proyecto, coordina mesas técnicas con actores claves para la obtención de permisos y licencias desde inicio de la estructuración, verificando en cada caso los requisitos de cada entidad según el listado y/o matriz de chequeo, que se cumpla con la totalidad de lo requerido según los tiempos esperados; en caso tal de no contar con algún documento o tramite requerido se deberá gestionar con quien corresponda la entrega del mismo ante la entidad correspondiente.</t>
  </si>
  <si>
    <t>Listado y/o matrices de chequeo de cada entidad encargada de emitir los permisos.
Permisos o licencias aprobadas</t>
  </si>
  <si>
    <t>GE28</t>
  </si>
  <si>
    <t xml:space="preserve">Contar con las aprobaciones de las entidades correspondientes con relación a permisos ambientales establecidos en el manual de estudios y diseños.
</t>
  </si>
  <si>
    <t>Linea Urbana</t>
  </si>
  <si>
    <t>Posibilidad de afectación reputacional</t>
  </si>
  <si>
    <t>reflejada en:
- Requerimientos por parte del Distrito / Concejo Distrital por incumplimiento de metas de Plan de Desarrollo.
- Pqrs y manifestaciones de inconformidad a través de distintos medios que derivan en la perdida de credibilidad en el Instituto.</t>
  </si>
  <si>
    <t>debido a que no se cuente con las aprobaciones de las entidades correspondientes con relación a permisos ambientales que inviabilicen los predios con potencial de desarrollo de proyectos de vivienda VIP y/o VIS asignados.</t>
  </si>
  <si>
    <t>Posibilidad de afectación reputaciona reflejada en requerimientos por parte del Distrito / Concejo Distrital por incumplimiento de metas de Plan de Desarrollo, Pqrs y manifestaciones de inconformidad a través de distintos medios que derivan en la perdida de credibilidad en el Instituto, debido a que no se cuente con las aprobaciones de las entidades correspondientes con relación a permisos ambientales que inviabilicen los predios con potencial de desarrollo de proyectos de vivienda VIP y/o VIS asignados.</t>
  </si>
  <si>
    <t>Que no se entregue la información de acuerdo con los criterios establecidos en la normatividad aplicable a cada permiso ambiental.</t>
  </si>
  <si>
    <t xml:space="preserve">1. </t>
  </si>
  <si>
    <t>El profesional ambiental de la linea urbana revisa que los estudios y diseños para efectos de permisos ambientales cumplan con la la normatividad aplicable.</t>
  </si>
  <si>
    <t>Permisos / autorizaciones de la autoridad ambiental competente</t>
  </si>
  <si>
    <t>Evaluar la posibilidad de estructurar una lista de chequeo para la revisión de requisitos relacionados con la presentación de información para trámites ambientales</t>
  </si>
  <si>
    <t>Se materializó el Riesgo?  (Ver evento potencial principal en Columna F. Relacionar detalles de la materialización - que, como, cuando, donde): No se ha materializado el riesgo durante el trimestre, toda vez que el tramite de aprovechamiento forestal solicitado para el proyecto Colinas de Occidente  ya cuenta con el Auto de Inicio.
Los Controles están bien  diseñados, se aplican de acuerdo al diseño  y son efectivos? (Ver controles en la columna P / Concluir frente a cada control): se valido la hoja de vida establecida por la Autoridad Ambiental -AMVA para el tramite de aprovechamiento forestal. Así mismo, se sostuvo reunión con el quipo técnico del Area Metropolitana del Valle de Aburrá -AMVA que tiene como función recibir la información para dar inicio al tramite.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gestionó ante el Ärea Metropolitana del Valle de Aburrá las "hojas de vida" para los tramites de aprovechamiento forestal y ocupación de cauce, las cuales establecen las condiciones mínimas que se deben cumplir.</t>
  </si>
  <si>
    <t>https://isvimedgovco.sharepoint.com/:b:/s/7Planeacion-Pla_Urbanistica/IQBPJuw2fwCtSKenTSI4RrtCAe4yQACDfM1VweRY3QTRnU4?e=reGefr
https://isvimedgovco.sharepoint.com/:w:/s/7Planeacion-Pla_Urbanistica/IQBXM2uNFJy6TIq3uxKciCGuAWAdxmpRH08iw7lNCmwDsTo?e=BFgtDP
https://isvimedgovco.sharepoint.com/:b:/s/7Planeacion-Pla_Urbanistica/IQBxdTRDcxRcR4wQNpaE6RbrAUU5_0wE0h7P4p79KFUAe3A?e=Ckdxv7
https://isvimedgovco.sharepoint.com/:b:/s/7Planeacion-Pla_Urbanistica/IQAYJxiksNmmRY31QjTzk654AQ2gipPhglbr8iCymg5wt50?e=7DMgzC</t>
  </si>
  <si>
    <t>Se niega el permiso por parte de la autoridad ambiental debido a que en la revisión y análisis de las actividades propuestas por el Instituto para mitigar los impactos ambientales, considera que no son suficientes</t>
  </si>
  <si>
    <t>2.</t>
  </si>
  <si>
    <t>El profesional ambiental de la linea urbana gestiona espacios de encuentro con la autoridad ambiental para evaluar las condiciones ambientales de los predios y determinar cursos de acción para viabilizar o no la gestión de los permisos ambientales</t>
  </si>
  <si>
    <t>GE19</t>
  </si>
  <si>
    <t>Lograr la delegación del Instituto como operador urbano en los territorios con tratamiento de renovación urbana.</t>
  </si>
  <si>
    <t>Operación Urbana</t>
  </si>
  <si>
    <t>Por requerimientos de la administracion distrital o el Concejo Distrital frente al incumplimiento de los programas del PEHMED asociados a la renovación urbana o al desarrollo de vivienda en otros tipos de tratamiento o localizaciones estratégicas.</t>
  </si>
  <si>
    <t>debido a que el Instituto no sea delegado como operador urbano en los territorios de interés por parte de la Administración Distrital.</t>
  </si>
  <si>
    <t>Posibilidad de afectación reputacional del InstitutoPPor requerimientos de la administracion distrital o el Concejo Distrital frente al incumplimiento de los programas del PEHMED asociados a la renovación urbana o al desarrollo de vivienda en otros tipoS de tratamiento o localizaciones estratégicas. Lo anterior, debido a que el Instituto no sea delegado como operador urbano en los territorios de interés por parte de la Administración Distrital.</t>
  </si>
  <si>
    <t>1. La no firma del convenio de delegación como operador urbano por parte del Distrito (DAP) en áreas interés.</t>
  </si>
  <si>
    <t>El profesional líder de la línea de opetación urbana valida que los estudios previos del convenio de delegación se ajusten a los requerimientos técnicos, normativos y legales para la debida suscripción del convenio, y verifica que hayan tenido las revisiones respectivas en las diferentes instancias de aprobación internas y externas que apliquen..</t>
  </si>
  <si>
    <t>Documento de estudios previos.
Minuta del convenio de delegación firmada.</t>
  </si>
  <si>
    <t>2. Que el enfoque organizacional, no de la prioridad a la solicitud de delegación como operador urbano en nuevas oportunidades para el desarrollo de operaciones urbanas relacionadas con vivienda.</t>
  </si>
  <si>
    <t>Previo a la solicitud de delegación, el profesional líder de la línea de operación urbana elabora un documento técnico de soporte en el cual se justifique las ventajas y desventajas de la participación del Isvimed en las areas de interés como operador urbano, entidad gestora u otra figura que se encuentre vigente en el Instituto para cumplir con su misionalidad.</t>
  </si>
  <si>
    <t>Documento Técnico</t>
  </si>
  <si>
    <t>GE20</t>
  </si>
  <si>
    <t xml:space="preserve"> Lograr que el Instituto cumpla progresivamente con el 100% de los requisitos de operación organizacional para la ejecución de la funciones del Decreto 893 de 2017 o el que lo modifique, complemente o sustituya, en el plazo de delegación establecido en el convenio interadministrativo para la Operación Urbana. (20% en cada año)</t>
  </si>
  <si>
    <t>Posibilidad de afectación reputacional y económica del Instituto</t>
  </si>
  <si>
    <t>Por requerimientos de la administracion distrital o el Concejo Distrital frente al incumplimiento de los programas del PEHMED asociados a la renovación urbana e incumplimiento del convenio interadministrativo de delegación.
Por no contar con otros ingresos derivados del decreto 893 de 2017 para realizar proyectos de vivienda en suelos de renovación urbana</t>
  </si>
  <si>
    <t>Debido a que el Instituto no adapte su estructura interna para cumplir con los requisitos de operación organizacional para la ejecución de la funciones del Decreto 893 de 2017 o el que lo modifique, complemente o sustituya.</t>
  </si>
  <si>
    <t>Posibilidad de afectación reputacional y económica del Instituto reflejada en  requerimientos de la administracion distrital o el Concejo Distrital frente al incumplimiento de los programas del PEHMED asociados a la renovación urbana e incumplimiento del convenio intradministrativo de delegación así como por no contar con otros ingresos derivados del decreto 893 de 2017 para realizar proyectos de vivienda en suelos de renovación urbana. Lo anterior, debido a que el Instituto no adapte su estructura interna para cumplir con los requisitos de operación organizacional para la ejecución de la funciones del Decreto 893 de 2017 o el que lo modifique, complemente o sustituya.</t>
  </si>
  <si>
    <t>Que no estén definidos y aprobados los procedimientos progresivos a nivel organizacional para atender las actividades derivadas del plan de acción de la Operación Urbana y período de interés.</t>
  </si>
  <si>
    <t>muy baja</t>
  </si>
  <si>
    <t>El profesional líder de la linea de operación urbana aplica los manuales y procedimientos formalizados en el SGC para este frente de trabajo.
El profesional líder de la linea de operación urbana verifica que se estén definiendo y aprobando de manera progresiva los procedimientos, manuales y demás documentos requeridos de acuerdo a la fase de la operación urbana que se vaya a desarrollar.</t>
  </si>
  <si>
    <t xml:space="preserve">Manuales, procedimientos y demas documentos requeridos de la operación urbana aprobados y publicados en el módulo de calidad de SIFI.
</t>
  </si>
  <si>
    <t xml:space="preserve">1. Elaboración de matriz de prioridad y cumplimiento de los asuntos determinantes para cumplir con los procesos que exige la operación urbana </t>
  </si>
  <si>
    <t>Que no se defina o consolide la estructura administrativa y de personal para la implementación de los procedimientos.</t>
  </si>
  <si>
    <t>El profesional líder de la linea de operación urbana identifica las necesidades de recursos para cada vigencia y las somete a aprobación por parte de la Subdirección de Planeación, para su posterior inclusión en el plan anual de adquisiciones.
Así mismo, revisa periódicamente el cumplimiento de los términos establecidos en el mismo</t>
  </si>
  <si>
    <t>2. Elaborar los procedimientos, formatos y anexos necesarios para formalizar el proceso de operación urbana con el apoyo técnico, jurídico, social y financiero.</t>
  </si>
  <si>
    <t>Falta de adaptación e interacción de los procesos y procedimientos con las otras subdirecciones para el ejercicio de la estructuración e implementación de la operación urbana.</t>
  </si>
  <si>
    <t>El profesional líder de la linea de operación urbana valida que se apliquen los mecanismos de interacción y de flujo de información establecidos en los manuales y procedimientos de la linea de planeación para la operación urbana.</t>
  </si>
  <si>
    <t>Actas de reuniones, equipos primarios y diferentes espacios establecidos.</t>
  </si>
  <si>
    <t>3. Recopilación de información y experiencias en otras ciudades y países que hayan implementado operaciones urbanas.</t>
  </si>
  <si>
    <t>GE21</t>
  </si>
  <si>
    <t>Cumplir con el 50% de la gestión predial y social de la unidad de actuación priorizada en el plazo de delegación establecido en el convenio interadministrativo para la Operación Urbana.</t>
  </si>
  <si>
    <t>por requerimientos del Concejo Distrital, dependencias del conglomerado o comunidad, por el incumplimiento en los indicadores asociados a la gestión social y predial para la habilitación de suelo y desarrollo de proyectos de vivienda en áreas  de renovación urbana .</t>
  </si>
  <si>
    <t>Debido a que no haya voluntad para el desarrollo de la unidad de actuación por parte de los propietarios privados, por inadecuada aplicación de los instrumentos de gestión del suelo o que no hayan recursos para la adquisición del mismo.</t>
  </si>
  <si>
    <t>Posibilidad de afectación reputacional del Instituto, reflejada en requerimientos del Concejo Distrital, dependencias del conglomerado o comunidad, por el incumplimiento en los indicadores asociados a la gestión social y predial para la habilitación de suelo y desarrollo de proyectos de vivienda en áreas  de renovación urbana. Lo anterior, debido a que no haya voluntad para el desarrollo de la unidad de actuación por parte de los propietarios privados, por inadecuada aplicación de los instrumentos de gestión del suelo o que no hayan recursos para la adquisición del mismo.</t>
  </si>
  <si>
    <t>Que la mayoría de los moradores o propietarios de la unidad de actuación priorizada, se opongan al desarrollo por arraigos de tipo social o personal que inviabilicen las negociaciones o procesos de vinculación para el desarrollo del nuevo proyecto</t>
  </si>
  <si>
    <t>El profesional líder de operación urbana en conjunto con el lider social o la Subdirección Poblacional, estructuran e implementan en PLAN DE GESTION SOCIAL a partir de la caracterización socioeconómica adelantada para la operación.
El profesional líder de operación urbana realiza seguimiento periódico al cumplimiento del PLAN DE GESTION SOCIAL y a los resultados esperados del mismo.</t>
  </si>
  <si>
    <t>documento PLAN DE GESTION SOCIAL
Evidencias de seguimiento a la aplicación de la política de protección a moradores y actividades económicas productivas.</t>
  </si>
  <si>
    <t>Reducir (compartir)</t>
  </si>
  <si>
    <t>1. Calcular los recursos necesarios para el pago de la gestión predial de los inmuebles a intervenir en la renovación urbana, para realizar la proyección presupuestal y tenerlo presente para el presupuesto a ejecutar.</t>
  </si>
  <si>
    <t>Que los moradores y propietarios presenten inconformidades con las diferentes propuestas de gestión asociada u oferta económica por su propiedad, que esté liderada por el operador urbano o por la entidad gestora.</t>
  </si>
  <si>
    <t>A partir de la caracterización socioeconómica, se aplican las diferentes alternativas de gestión asociada aplicables al proyecto inmobiliario.
El profesional de operación urbana realiza seguimiento a la vinculación de los propietarios al proyecto inmobiliario.</t>
  </si>
  <si>
    <t>Evidencia de seguimiento a la aplicación de las alternativas de gestión asociadas.</t>
  </si>
  <si>
    <t xml:space="preserve">2. Estrategia de comunicación e información al interior del ISVIMED y entidades del conglomerado, informando sobre lo avanzado y la urgencia de la delegación para el desarrollo, regeneratividad y sostenibilidad del Instituto en el territorio. </t>
  </si>
  <si>
    <t>Que los recursos se direccionen hacia otras estrategias de gestión de suelo en donde, de acuerdo a un análisis costo beneficio, sea mas conveniente adquirir suelo por fuera de la operación urbana</t>
  </si>
  <si>
    <t xml:space="preserve">En el proceso de estructuración financiera del proyecto inmobiliario se definen la fuentes con destinación específica para la gestión del suelo y las fuentes con recursos variables para el mismo fin.
En el proceso de estructuración financiera del proyecto inmobiliario, se definen alternativas de apalancamiento de capital para la gestión del suelo del proyecto inmobiliario.
El profesional lider de operación urbana verifica que dentro de la estructura financiera esté clara la estructura de financiamiento y sus alternativas relacionadas con la gestión de suelo.
</t>
  </si>
  <si>
    <t>Estructura financiera del proyecto inmobiliario.</t>
  </si>
  <si>
    <t>3. Contratación de equipo idóneo, calificado y con experiencia en el tipo de avalúos que se requieren.
4. Obtener los avalúos de entidades como la Lonja de Colombia, que permitan la confiabilidad del valor a negociar generando una efectiva gestión predial.</t>
  </si>
  <si>
    <t>Se generan sobrecostos al presupuesto de adquisición del suelo y gestión social inicialmente establecido, por cambios en la política de protección a moradores u otras políticas aplicables a la gestión social.</t>
  </si>
  <si>
    <t>El profesional líder de la linea de operación urbana incorpora el sobrecosto a la estructura financiera del proyecto y busca alternativas para su financiación.</t>
  </si>
  <si>
    <t xml:space="preserve">5. Determinación clara de los procesos normativos para la adquisición predial. 
6. Correcta y clara Gestión social.
7. Elaborar unos estudios previos adecuados para el contrato de avalúos, de tal forma que se pueda obtener el mejor producto posible. - Alejandro
8. Apoyo de la Subdirección jurídica para la elaboración de la minuta de contratación de servicios para el servicio de avalúos, en la cual se establecen los productos a entregar y la verificación de las fórmulas establecidas en la norma utilizadas para determinar el valor comercial de los inmuebles.                        </t>
  </si>
  <si>
    <t>GE22</t>
  </si>
  <si>
    <t>Lograr el 50% del cierre financiero para la ejecución de la unidad de actuación priorizada o sus etapas.</t>
  </si>
  <si>
    <t>por gestión de recursos adicionales para cumplir con los cierres financieros.
 por requerimientos de la administración distrital,manifestaciones de inconformidad de la ciudadanía derivadas del incumplimiento de los compromisos adquiridos en el marco de la operación urbana y hallazgos de los entes de control.</t>
  </si>
  <si>
    <t>Debido a que no exista asignación de recursos para el modelo de financiación definido para el proyecto o que el proyecto estructurado no sea atractivo comercialmente para su apalancamiento, desarrollo y promoción por parte de otros actores.</t>
  </si>
  <si>
    <t>Posibilidad de afectación económica y reputacional del Instituto reflejada en la gestión de recursos adicionales para cumplir con los cierres financieros, asi como en requerimientos de la administración distrital, manifestaciones de inconformidad de la ciudadanía derivadas del incumplimiento de los compromisos adquiridos en el marco de la operación urbana y hallazgos de los entes de control. Lo anterior, debido a que no exista asignación de recursos para el modelo de financiación definido para el proyecto o que el proyecto estructurado no sea atractivo comercialmente para su apalancamiento, desarrollo y promoción por parte de otros actores.</t>
  </si>
  <si>
    <t>Que el enfoque organizacional, no tenga como prioridad en su estructura financiera la inversión para el desarrollo o construcción de proyectos VIS/VIP.</t>
  </si>
  <si>
    <t xml:space="preserve">En el proceso de estructuración financiera del proyecto inmobiliario, se definen alternativas de apalancamiento de capital para el desarrollo del proyecto inmobiliario.
El profesional líder de operación urbana verifica que dentro de la estructura financiera esté clara la estructura de financiamiento y sus alternativas relacionadas con el desarrollo del proyecto.
</t>
  </si>
  <si>
    <t xml:space="preserve">1. Rigor en la selección del personal - institucional, con estudios previos objetivos: conocimiento, experiencia, competencias habilidades </t>
  </si>
  <si>
    <t>Que la estructura organizacional no permita al Isvimed participar en diferentes modelos financieros o esquemas inmobiliarios para contribuir con el cierre financiero de los proyectos.</t>
  </si>
  <si>
    <t>El profesional líder operación urbana verifica previa estructuración de los proyectos u operación urbana, que el Isvimed tenga los procedeimientos, manuales, estatutos y demás, que le permitan participar en diferentes modelos de cierre financiero.</t>
  </si>
  <si>
    <t>2. Idoneidad en el equipo de profesionales que gestionan la aplicación de instrumentos de intervención del suelo con el fin de evitar especulación de precios en el mercado.
3. Estudio detallado de los casos de éxito donde se aplicaron los instrumentos de intervención del suelo, para así analizar las lecciones y experiencias aprendidas.
4. Socialización de los métodos de avalúo implementado, creando un ABC del proceso realizado para dar valor a los predios a intervenir.</t>
  </si>
  <si>
    <t>El profesional líder de operación urbana acompaña posterior a la estructuración de los proyectos u operación urbana, la modificación para que el Isvimed tenga los procedimientos, manuales, estatutos y demás, que le permitan participar en diferentes modelos de cierre financiero.</t>
  </si>
  <si>
    <t>Que exista un incremento en el valor del suelo o en la propiedad debido a la especulación del mercado inmobiliario, y que no sea intervenido por la administración distrital.</t>
  </si>
  <si>
    <t xml:space="preserve">5. Apoyarse en el MIS, y fundamentar el componente Participativo y Comunicacional de la Línea, en clave de desarrollo institucional </t>
  </si>
  <si>
    <t>Por el costo de aplicación de la PPPMAEP, o demás obligaciones urbanísticas o sociales ligadas al desarrollo inmobiliario.</t>
  </si>
  <si>
    <t>El profesional líder de operación urbana en conjunto con el lider social o la Subdirección Poblacional, realizan un cálculo previo de los costos de la PPPMAEP en cada uno de los proyectos inmobiliarios para que sean considerados previo inicio de la estructuración financiera de los proyectos.
El profesional líder de operación urbana verifica que el cálculo previo de los costos de la PPPMAEP esté incluido dentro de los insumos para la estructura financiera del proyecto.</t>
  </si>
  <si>
    <t>Documento con el precálculo de los costos PPPMAEP</t>
  </si>
  <si>
    <t xml:space="preserve">6. Desarrollo de una estrategia pedagógica que sensibilice a los grupos de trabajo, frente a la urgencia de apropiar de y aplicar la PPPMAEP, y con toda una estrategia de seguimiento y control, articulada con el DAP </t>
  </si>
  <si>
    <t>Por dificultades, retrasos o incumplimientos en la gestión predial, que puede ocasionar retrasos o afectaciones financieras en los demás frentes del proyecto.</t>
  </si>
  <si>
    <t>El profesional líder de operación urbana estructura y realiza seguimiento al cronograma específico para la gestión predial en la etapa de estructuración y para el desarrollo del proyecto</t>
  </si>
  <si>
    <t xml:space="preserve"> Cronograma específico para la gestión predial en la etapa de estructuración y para el desarrollo del proyecto</t>
  </si>
  <si>
    <t xml:space="preserve">7. Creación de una agenda de interacción - relacionamiento territorial, de los equipos de trabajo del Instituto con las áreas de influencia de los proyectos, con el fin de conocer e identificar los desarrollos a que haya lugar, en clave de las necesidades sentidas y reales de la población. Todo ello acompañado de una estrategia de formación. </t>
  </si>
  <si>
    <t>Que no existan a nivel distrital, diferentes tipos de incentivos que promuevan la vinculación de otros actores en el desarrollo de VIS/VIP.</t>
  </si>
  <si>
    <t>El profesional líder de operación urbana acompaña al Departamento Administrativo de Planeación en la regulación de incentivos y realiza seguimiento a los incentivos disponibles.</t>
  </si>
  <si>
    <t>Documentos de regulación de incentivos en donde Isvimed haya participado en su formulación.</t>
  </si>
  <si>
    <t xml:space="preserve">8. Estrategia de comunicación e información al interior del ISVIMED y entidades del conglomerado, informando sobre lo avanzado y la urgencia de la delegación para el desarrollo, regeneratividad y sostenibilidad del Instituto en el territorio. </t>
  </si>
  <si>
    <t>Que no existan mecanismos de financiación o de gestión de la demanda que atiendan posibles crecimientos o cambios significativos en variables exógenas de mercado que afecten el cierre financiero de los proyectos. Ejemplo tasas de interés.</t>
  </si>
  <si>
    <t>El instituto monitorea la diferentes problemáticas del mercado y realiza propuestas de oferta institucional para atenderlas.</t>
  </si>
  <si>
    <t>Oferta Institucional</t>
  </si>
  <si>
    <t>9. Crear un cronograma de actividades a desarrollar en el proceso de gestión predial, en la cual se establecen tareas, cronograma de cumplimiento y seguimiento del mismo, con el ánimo de determinar los alcances en cada actividad elaborada.
10. Supervisión y control en el proceso de gestión predial desde el componente comunicacional y la gestión social.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</si>
  <si>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</si>
  <si>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</si>
  <si>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</si>
  <si>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</si>
  <si>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</si>
  <si>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</si>
  <si>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GE12</t>
  </si>
  <si>
    <t>22/09/022</t>
  </si>
  <si>
    <t xml:space="preserve">Se realizaron los siguientes cambios:
- Se incluye control No. 2 que no se había establecido previamente.
- Se ajusta el evento potencial intermedio 4, teniendo en cuenta que la falta de suelo no es solo en suelo de expansión, sino en el suelo general de la ciudad. Dado que los lotes que tiene el instituto, de acuerdo al POT se deben desarrollar mediante los Planes de Renovación Urbana. Por tanto se debe evaluar la posibilidad de ser operadores urbanos o entregar los lotes a operadores urbanos para su desarrollo. 
- Se incluye el evento intermedio No 6 y el control respectivo, relacionado con la inviabllidad técnica, jurídica, financiera, ambiental y/o social de los proyectos en la etapa de prefactiblidad y estudios y diseños.
</t>
  </si>
  <si>
    <t>GE13</t>
  </si>
  <si>
    <t xml:space="preserve">Se realizaron los siguientes cambios: 
- Se ajusta el control 2 (columna P) de la siguiente manera: “La secretaría técnica del CCMPH por parte de la Subdirección de Planeación del Isvimed verifica que lleven a cabo las actividades establecidas en el decreto 0303 de 2019 de la Alcaldía de Medellín, reglamentada mediante la resolución 283 de 2020 del Isvimed".
- En relación con el evento potencial intermedio No 4, se especifica que no se pueden establecer medidas de control toda vez que no depende del Instituto los recursos que son asignados por la Administracón Distrital. </t>
  </si>
  <si>
    <t>GE15</t>
  </si>
  <si>
    <t>Este riesgo de corrupción relacionado con la celebración indebida de contratos para el desarrollo de los proyectos habitacionales, se elimina por decisión de la dirección. Esta decisón se justificó en el hecho de que la contratación de este tipo de servicios, se realiza a través de una fiduciaria, quien es la que finalmente adjudica el contrato en el marco del derecho privado.</t>
  </si>
  <si>
    <t>GE16</t>
  </si>
  <si>
    <t>Se realizaron los siguientes cambios:
- Se ajusta el evento potencial principal (columna F) con la siguiente redacción: “debido al incumplimiento de los proyectos y acciones relacionados con las lineas estratégicas de la política de inquilinatos del Municipio de Medellín que le corresponden a Isvimed”.
- Se ajusta el evento potencial intermedio 1 (columna H) con la siguiente redacción: “Incumplimiento de las funciones de la mesa de trabajo para los inquilinatos”
- Se ajusta el evento potencial intermedio 2 (columna H) con la siguiente redacción: “No se realizan los diagnósticos de las condiciones fisico espaciales de los inquilinatos que derivan en asesorías para la construcción de planes de mejora y/o licenciamiento”.</t>
  </si>
  <si>
    <t>Se ajusta la redacción del evento potencial principal (columna F) de la siguiente manera: "debido a que la oferta institucional para disminuir el déficit cuantitativo habitacional no es suficiente y/o no satisface las necesidades y condiciones de la población que debe ser atendida, en especial aquella en condiciones de pobreza, vulnerabilidad y precariedad."</t>
  </si>
  <si>
    <t>Se elimina evento potencial intermedio 2 “Alguna parte de la población que se atiende no tiene cultura del ahorro”, ya que Desde la el equipo directivo en la mesa de seguimiento de proyectos, se estableció subsidiar diferencialmente a los hogares postulados según su ingreso, ahorro y posibilidad de concurrencia con otros subsidios, ampliando la cobertura y el acceso al subsidio de vivienda. De esta manera para aquellos que hogares que no cuenten con ahorro, se incrementa el monto del subsidio para permitir el cierre financiero y el acceso a la vivienda.</t>
  </si>
  <si>
    <t>Se elimina el evento potencial intermedio 7 ya que la asignación diferencial del subsidio de vivienda a partir de la caracterización de la población, no garantiza el acceso de vivienda a las personas que se postulan al mismo.</t>
  </si>
  <si>
    <t>Se incluye este riesgo relacionado con la existencia de información no confiable y/o relevante para la toma de decisiones relacionadas con la vivienda y el habitat.</t>
  </si>
  <si>
    <t>GE14</t>
  </si>
  <si>
    <t>Se elimina el riesgo GE14 relacionado con la posibilidad de desfinaciación de los proyectos de inversión del Instituto por cambios no planificados a nivel interno en los presupuestos asignados. Lo anterior teniendo en cuenta que para el movimiento de recursos entre rubros o proyectos de inversión se debe surtir un procedimiento ante el DAP y hacienda para que coincidan las posiciones presupuestales de los mismos (pospre), se solicita evaluar la posibilidad de eliminar este riesgo por cuanto no es posible realizar cambios en el presupuesto internamente.</t>
  </si>
  <si>
    <t>GE19, GE20, GE21, GE22, GE23, GE24</t>
  </si>
  <si>
    <t>Se incluyen los riesgos de la línea de Operación Urbana</t>
  </si>
  <si>
    <t>Se incluye este riesgo relacionado con la posibilidad de reducción del presupuesto inicialmente asignado y/o una congelación o no giro de la transferencias distritales para los proyectos de inversión del Instituto, lo cual afecta el cumplimiento de objetivos de plan de desarrollo.</t>
  </si>
  <si>
    <t>Se establece el control 3, no existente anteriormente de la siguiente manera: "El Centro de Analítica Institucional (CAD) utiliza la base de datos vigente de la ECV (Encuesta de Calidad de Vida) para establecer el déficit habitacional desde lo cuantitativo y cualitativo, asi como la base de datos del Sisbén 3 y 4, para mejorar la calidad de los datos de la caracterización de la población.
El Centro de Analítica Institucional (CAD) determina estadísticamente las necesidades de oferta de vivienda según la caracterización de la población objetivo de acuerdo a los lineamientos del procedimiento de gestión de la información."
Se fortalece el control 6 mediante la construcción de la matriz de seguimiento de proyectos,  la cual incluye dentro de las revisiones de prefactibilidad los trámites para los permisos que podrían inviabilizar los proyectos.</t>
  </si>
  <si>
    <t>Se elimina el riesgo GE12 relacionado con el siguiente evento potencial principal: “la posibilidad de que la oferta institucional para disminuir el déficit cuantitativo habitacional no es suficiente y/o no satisface las necesidades y condiciones de la población que debe ser atendida, en especial aquella en condiciones de pobreza, vulnerabilidad y precariedad”. Se reemplaza con el siguiente evento potencial principal: que no sea posible gestionar la entrega material de la solución definitiva de vivienda a los hogares que esperan superar el déficit cuantitativo. Esto se deriva del cambio de enfoque en el planteamiento estratégico del Instituto, orientado a gestionar el déficit cuantitativo de vivienda a través del cumplimiento de los indicadores que para tal fin se incorporan en el Plan de Desarrollo. El déficit cuantitativo de vivienda en la ciudad de Medellín es una variable que tiende por el contrario al aumento, teniendo en cuenta las complejidades sociales del país y la limitación de recursos en los ordenes nacional y territorial.</t>
  </si>
  <si>
    <t>Se elimina este riesgo relacionado con la posibilidad de que la planificación y ejecución de los proyectos de dirección estratégica del Isvimed no impacten en los objetivos del PEHMED, toda vez que se reemplaza por riesgos relacionados con objetivos SMART de la línea de Planeación Estratégica.</t>
  </si>
  <si>
    <t>Se ajusta la redacción de este riesgo para alinearlo con los siguientes objetivos tipo SMART: 
-	Lograr el 95% de cumplimiento de reporte de indicadores en el SMO dentro de los primeros 5 días calendario de cada mes.
-	Reducir a 1 el numero de indicadores con inconsistencias (dato reportado en SMO vs fuente de información) en cada vigencia.
-	Lograr un 95% de cumplimiento del cronograma de publicación de avance de indicadores en plataformas establecidas por el DAP y el DNP de manera mensual.
La nueva redacción del riesgo es la siguiente: “Posibilidad de afectación reputacional del Instituto reflejada en  el incumplimiento del cargue de la información en plataforma de entes externos (DAP-SAP, DNP-PIIP), la dificultad para realizar seguimiento al desempeño institucional asi como para la toma de decisiones por parte de la Alta Dirección y hallazgos de los entes de control. Lo anterior, debido a Ia información institucional es reportada de manera inoportuna y/o con inconsistencias en el SMO Institucional y en plataformas externas.”</t>
  </si>
  <si>
    <t>Se incluye un nuevo riesgo alineado con el objetivo SMART “Lograr que el 100% de los proyectos de inversión cumplan con los estándares técnicos establecidos por el Banco de Proyectos del Distrito de Medellín en cada vigencia.” con la siguiente redacción “Posibilidad de afectación económica y reputacional del Instituto reflejada en la no asignación de recursos por parte del Distrito de Medellín, incumplimiento de las metas del plan de desarrollo distrital, así como hallazgos de los entes de control. Lo anterior, debido a que los proyectos de inversión no cumplen con los estándares técnicos establecidos por el Banco de Proyectos del Distrito de Medellín”.</t>
  </si>
  <si>
    <t>Se elimina este riesgo en el marco de actualización de matrices de acuerdo con los objetivos SMART definidos para línea de acción de planeación social. En este sentido se crean 3 nuevos riesgos relacionados con los siguientes objetivos:
-	Lograr 400 Inquilinatos acompañados socialmente en el cuatrienio 2024-2027
-	Aumentar a 8 el # de dependencias que reportan avance en el cumplimiento de actividades del Plan de Trabajo de la Política Publica de Inquilinatos en la vigencia 2025.
-	Realizar 2 sesiones del Consejo Consultivo en cada vigencia.</t>
  </si>
  <si>
    <t>Se incluye este riesgo relacionado con la posibilidad de “que no sea posible acompañar socialmente a los inquilinatos en el marco de la Política Publica de Inquilnatos”. Este riesgo se incluye en el marco de la actualización de matrices con base en la identificación de objetivos SMART.</t>
  </si>
  <si>
    <t>Se incluye este riesgo relacionado con la posibilidad de “que las dependencias que hacen parte de la implementación de la política Pública de Inquilinatos según normatividad vigente no se vinculen al Plan de Trabajo de la misma”. Este riesgo se incluye en el marco de la actualización de matrices con base en la identificación de objetivos SMART.</t>
  </si>
  <si>
    <t>Se incluye este riesgo relacionado con la posibilidad de “que no sea posible realizar las sesiones del Consejo Consultivo de acuerdo con con la meta del Plan de Desarrollo Distrital vigente”. Este riesgo se incluye en el marco de la actualización de matrices con base en la identificación de objetivos SMART.</t>
  </si>
  <si>
    <t>Se elimina este riesgo por cuanto su identificación se había realizado con respecto al objetivo estratégico “Disminución en el déficit cuantitativo y cualitativo habitacional” el cual fue alineado al indicador de resultado del Plan de Desarrollo relacionado con la entrega de viviendas nuevas o usadas, el cual busca gestionar el déficit cuantitativo mas no disminuirlo. En este sentido la identificación del riesgo, sus causas y controles cambian de manera integral.</t>
  </si>
  <si>
    <t>Se incluye este riresgo de la linea Urbana  relacionado con la posibilidad de "que desde el estudio de viabilidad preliminar hasta finalizar la etapa de estructuración, se inviabilicen los predios con potencial de desarrollo de proyectos de vivienda VIP y/o VIS asignados."</t>
  </si>
  <si>
    <t>Se incluye este riresgo de la linea Urbana  relacionado con la posibilidad de "que no se cuente con las aprobaciones de las entidades correspondientes con relación a permisos ambientales que inviabilicen los predios con potencial de desarrollo de proyectos de vivienda VIP y/o VIS asignados.".</t>
  </si>
  <si>
    <t>Se incluye este riesgo de la linea de acción de Dirección y definición de controles, relacionado con "Posiblidad de afectación reputacional y económica del Instituto, reflejada en requerimientos por parte del Distrito y el Concejo de Medellín derivados del incumplimiento de la meta del plan de desarrollo, hallazgos de entes de control, PQRSD y acciones legales por parte de la comunidad, mayores costos en los proyectos constructivos por incumplimiento de los tiempos de entrega, asi como mayor tiempo en los pagos de los hogares que hacen parte del programa de arrendamiento temporal. Lo anterior, debido a  que no sea posible gestionar la entrega material de la solución definitiva de vivienda a los hogares que esperan superar el deficit cuantitativo de acuerdo con las metas establecidas en el plan de desarrollo Distrital"</t>
  </si>
  <si>
    <t>Impacto</t>
  </si>
  <si>
    <t>Alto</t>
  </si>
  <si>
    <t>Bajo</t>
  </si>
  <si>
    <t>Tabla Criterios para definir el nivel de probabilidad Inherente</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</si>
  <si>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</si>
  <si>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</si>
  <si>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</si>
  <si>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</si>
  <si>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</si>
  <si>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</si>
  <si>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</si>
  <si>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IMPACTO</t>
  </si>
  <si>
    <t>Nivel</t>
  </si>
  <si>
    <t>% Impacto</t>
  </si>
  <si>
    <t>Afectación_Económica</t>
  </si>
  <si>
    <t>Reputacional</t>
  </si>
  <si>
    <t>Leve</t>
  </si>
  <si>
    <t>Menor a 10 SMLMV</t>
  </si>
  <si>
    <t>El riesgo afecta la imagen de algún área de la organización.</t>
  </si>
  <si>
    <t>Menor</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</si>
  <si>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</si>
  <si>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</si>
  <si>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</si>
  <si>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</si>
  <si>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</si>
  <si>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</si>
  <si>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</si>
  <si>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</si>
  <si>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</si>
  <si>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</si>
  <si>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</si>
  <si>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</si>
  <si>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</si>
  <si>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</si>
  <si>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</si>
  <si>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</si>
  <si>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</si>
  <si>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</si>
  <si>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</si>
  <si>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</si>
  <si>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</si>
  <si>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</si>
  <si>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</si>
  <si>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</si>
  <si>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</si>
  <si>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</si>
  <si>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</si>
  <si>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</si>
  <si>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</si>
  <si>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</si>
  <si>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</si>
  <si>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</si>
  <si>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</si>
  <si>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</si>
  <si>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</si>
  <si>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</si>
  <si>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</si>
  <si>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</si>
  <si>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</si>
  <si>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</si>
  <si>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</si>
  <si>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</si>
  <si>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</si>
  <si>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</si>
  <si>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</si>
  <si>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</si>
  <si>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Económico y Reputacional</t>
  </si>
  <si>
    <t>Plan de accion (solo para la opción reducir)</t>
  </si>
  <si>
    <t>Impacto Inherente</t>
  </si>
  <si>
    <t>Finalizado</t>
  </si>
  <si>
    <t>En curso</t>
  </si>
  <si>
    <t>TIPOLOGÍA</t>
  </si>
  <si>
    <t>Fiscal</t>
  </si>
  <si>
    <t>Seg. de la Información</t>
  </si>
  <si>
    <t>Integridad Pùblica - Corrupción</t>
  </si>
  <si>
    <t>Integridad Pùblica - LA/FT/FP</t>
  </si>
  <si>
    <t>Procesos Institucionales</t>
  </si>
  <si>
    <t>Gestión Social</t>
  </si>
  <si>
    <t>Gestión de Desarrollo de Soluciones Habitacionales</t>
  </si>
  <si>
    <t>Gestión de Atención al Usuario</t>
  </si>
  <si>
    <t>Gestión del Talento Humano</t>
  </si>
  <si>
    <t>Gestión de Comunicaciones</t>
  </si>
  <si>
    <t>Gestión Financiera</t>
  </si>
  <si>
    <t>Gestión de Infraestructura</t>
  </si>
  <si>
    <t>Gestión de TIC</t>
  </si>
  <si>
    <t>Gestión Documental</t>
  </si>
  <si>
    <t>Gestión Jurídica</t>
  </si>
  <si>
    <t>Gestión de Evaluación y  Mejora Continua</t>
  </si>
  <si>
    <t>Gesión de Evaluación Indpendiente</t>
  </si>
  <si>
    <t>Registro Sustancial</t>
  </si>
  <si>
    <t>Registro Material</t>
  </si>
  <si>
    <t>Sin registro</t>
  </si>
  <si>
    <t>Reducir</t>
  </si>
  <si>
    <t>Se ajusta el reisgo relacionado con la posiblidad de que la Información estadística no financiera relacionada con la vivienda y el hábitat no fuera confiable y relevante. Se cambia por la posiblidad de que los registros administrativos relacionados con la misionalidad del Instituto tienen deficiencias en variables poblacionales, de identificación de la población y georeferenciación, asi como en la consolidación automatizada de la información.</t>
  </si>
  <si>
    <t>Se materializó el Riesgo?  SI (Ver evento potencial principal en Columna F. Relacionar detalles de la materialización - que, como, cuando, donde):
Se materializa el riesgo al  no cumplirse con el indicador de hogares que superan el déficit cuantitativo de vivienda a marzo de 2026, alcanzando un  % cumplimiento del 80.6% (571 / 708)
Meta del Plan de Desarrollo: 1.260
Meta Anual: 315
Meta acumulada a marzo de 2026: 708
Avance 2024: 388
Avance 2025: 115
Avance enero a marzo de 2026: 68
Total entregado 2024 a marzo de 2026: 571
Los Controles están bien  diseñados, se aplican de acuerdo al diseño  y son efectivos?  (Ver controles en la columna P / Concluir frente a cada control)
Con base en los resultados obtenidos, se concluye que hay deficiencias en los controles, teniendo en cuenta el incumplimiento de la meta, el cual se debe a:
1. La oferta limitada de Vivienda de Interés Social (VIS) en Medellín por la poca disponibilidad y alto costo del suelo que incide en el precio final de la vivienda 
2. Aunque hay demanda por los subsidios para la adquisición de vivienda, no todas las familias que se inscriben cumplen con los requisitos establecidos en la normativa vigente. Esto reduce la cantidad de hogares elegibles para recibir el subsidio y, por tanto, limita el avance de la meta.
3. Aunque la feria de vivienda social de septiembre 2025 ofreció 1.199 viviendas, el proceso de cierre financiero está en proceso de verificación y la resolución de la lista de elegibles en trámite de asignación. Esto impacta directamente el cumplimiento del indicador.
4. La suspensión de los subsidios nacionales ha generado una brecha financiera para muchas familias que no pueden cerrar sus procesos de compra de vivienda VIS, lo que genera desistimientos. Los subsidios distritales se ven como un apoyo insuficiente para completar el cierre financiero.
5. Los recientes cambios en la política nacional, como el incremento del salario mínimo y el proyecto de decreto de desindexación del valor de la vivienda, han elevado los costos y reducido la viabilidad económica de muchos proyectos de vivienda VIS. Esto no solo afecta la oferta, sino que también requiere ajustes en los subsidios distritales.
Que acciones propones o se están llevando a cabo para gestionar el riesgo que se materializó?  (Si no aplica colocar N/A)
1. Formalizar un documento de observaciones y propuestas al Gobierno Nacional respecto al proyecto de decreto de desindexación, el incremento del salario mínimo y la situación de los subsidios nacionales, solicitando ajustes que favorezcan tanto a la oferta como a la demanda de vivienda en Medellín.
2. Continuar con la asignación de SDV a las familias que cumplen con los requisitos y priorizaron proyecto en la feria distrital de vivienda social 2025.
Que acciones propones o se están llevando a cabo para fortalecer los controles? (En el caso de que tener Acciones de mejora / Acciones correctivas en proceso, relacionar el avance. Si tienes acciones específicas a desarrollar en la columna AJ, también relacionar el avance) N/A
1. Establecer canales de socialización para las familias sobre los requisitos para acceder al subsidio distrital de vivienda. Esto puede incluir redes sociales, pagina web, etc.
2. La estrategia Compra tu casa para que los hogares pudieran acceder al SDV aplicable en proyectos habitacionales de Medellín cuya escrituración fuera máximo a diciembre de 2028, fue suspendida el 15 de enero de 2026. En los primeros 15 días del año se registraron 5 hogares a los cuales les fue asignado el SDV, dado que tanto el hogar como el proyecto habitacional cumplieron requisitos.
3. Semillero Vivienda un Proyecto Familiar: Con el fin de continuar con el proceso de formación con los hogares que tiene como meta la compra de vivienda, se realiza el primer trimestre de 2026 los ciclos 8, 9, 10 y 11 con el fin de que 2910 hogares inscritos pudieran iniciar el semillero, como resultado obtuvimos la participación de:
142 hogares que al menos cursaron un taller.
33 hogares que finalizaron el semillero.
21 hogares se encuentran en resoluciones de elegibles para el posteriormente tener el subsidio distrital de vivienda aplicable en los proyectos habitacionales Watana, Colinas de Occidente, Verde Agua y Brezze.
4. Como estrategias para apoyar a los hogares a cumplir su sueño de tener vivienda propia, se tienen memorandos de entendimiento con Sapiencia, Fondo Nacional del Ahorro, Davivienda y Presente.</t>
  </si>
  <si>
    <t>CAUSA 1, 2 Y 3 A cargo de la linea urbana.  Natalia Gallego me informa que ya envió la matriz diligenciada
CAUSA 4 (Ver GE27)  Natalia Gallego informa que ya envió la matriz diligenciada
CAUSA 5: El balance en materia de seguridad para los activos del instituto es de normalidad absoluta. A la fecha, no se han registrado incidentes de ocupaciones irregulares ni perturbaciones al orden público en los predios o proyectos habitacionales bajo nuestra custodia.
Adjunto la evidencia de seguimiento y control al contrato de vigilancia.
https://isvimedgovco-my.sharepoint.com/:b:/g/personal/seguridad_fisica_isvimed_gov_co1/IQDKl_WjCYRpTLkQZKLK1gr3Abk-Kr0EzIPRpLkAehzRdOk
https://isvimedgovco-my.sharepoint.com/:b:/g/personal/seguridad_fisica_isvimed_gov_co1/IQB9hmgEwmHETJy7MEaGc4xtAdsuSRZDpB0T-RUuh3R86hY
https://isvimedgovco-my.sharepoint.com/:b:/g/personal/seguridad_fisica_isvimed_gov_co1/IQAoi6N26XiJT44zTkl-gJ5KAdxtdh-0iyZQBrCwlm5PZMQ
https://isvimedgovco-my.sharepoint.com/:b:/g/personal/seguridad_fisica_isvimed_gov_co1/IQD6StBLktKIQZFL0b5nnJz4AU5O4ArCz0BWs0wKiNHcP88
https://isvimedgovco-my.sharepoint.com/:b:/g/personal/seguridad_fisica_isvimed_gov_co1/IQAijiRKXEfpT6Xva6XyfCWuAVKN6qdZ_lRuqS-N8ZdmtsY
INFORME DE GESTIÓN Y SUPERVISIÓN:
https://isvimedgovco.sharepoint.com/:f:/s/7Planeacion/IgDN_yLCxDIbSanKu5dduOvsAZCSQCiUoUh7ZBcJIrpHaO4?e=oUdh4G
CAUSA 6
6.1 https://isvimedgovco.sharepoint.com/:f:/s/7Planeacion/IgDZNz84OKgjQpVNeiUEXN37AclfvK-jQsqSvOwApBtr1Oo?e=eiKH2C
6.2  https://isvimedgovco.sharepoint.com/:f:/s/7Planeacion/IgAPkn4dsRXGRoWeQva6yMq5AeOVsvi00VH3VyvM-flLpug?e=JuqObw
6.3 https://isvimedgovco.sharepoint.com/:f:/s/7Planeacion/IgCzfSPLAjxCRpohtjGhr70JAVtsG45WmilEytiPwJ5RT18?e=DG4GFN
6.4.  A la fecha no hay oferta de vivienda para la realización de la "Ruta de la vivienda"</t>
  </si>
  <si>
    <t>MAPA DE CALOR INHERENTE (ANTES DE CONTROLES)</t>
  </si>
  <si>
    <t>MAPA DE CALOR RIESGO INHERENTE</t>
  </si>
  <si>
    <t>CALIFICACIÓN RIESGO INHERENTE</t>
  </si>
  <si>
    <t>No. DEL RIESGO</t>
  </si>
  <si>
    <t>RIESGO</t>
  </si>
  <si>
    <t>PROBABILIDAD</t>
  </si>
  <si>
    <t>SEVERIDAD (NIVEL DE RIESGO)</t>
  </si>
  <si>
    <t>NIVELES DE RIESGO</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</si>
  <si>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</si>
  <si>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</si>
  <si>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</si>
  <si>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</si>
  <si>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</si>
  <si>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</si>
  <si>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</si>
  <si>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</si>
  <si>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</si>
  <si>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</si>
  <si>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</si>
  <si>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</si>
  <si>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</si>
  <si>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</si>
  <si>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</si>
  <si>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</si>
  <si>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</si>
  <si>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</si>
  <si>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</si>
  <si>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</si>
  <si>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</si>
  <si>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</si>
  <si>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</si>
  <si>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</si>
  <si>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</si>
  <si>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</si>
  <si>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</si>
  <si>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</si>
  <si>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debido a que los registros administrativos relacionados con la misionalidad del Instituto tengan deficiencias en variables poblacionales, de identificación de la población y georeferenciación, asi como en la consolidación automatizada de la información.</t>
  </si>
  <si>
    <t>Planeación Estratégica
Confiabilidad y relevancia de la Información estadística no financiera relacionada con la vivienda y el hábitat.</t>
  </si>
  <si>
    <t>Lograr la confiabilidad y relevancia de la Información No Financiera generada en el Instituto y requerida para la toma decisiones relacionadas con la vivienda y habitat.</t>
  </si>
  <si>
    <t>3. Falta de oficialización de las operaciones estadísticas que adelanta el Instituto de forma interna, para garantizar la transversalidad, transparencia y replicabilidad de la información generada relacionada con vivienda y hábitat por el ISVIMED.
La oficialización hace referencia a la creación de fichas estadísticas y anonimizadas para los códigos de procesamiento</t>
  </si>
  <si>
    <t>No se cuenta con metodología clara para la formulación técnica del proyecto</t>
  </si>
  <si>
    <t>El profesional asignado gestiona la alianzas entre dependencias que tengan similitud en sus misionalidades para el cumplimiento de las actividades.</t>
  </si>
  <si>
    <t>GE19, GE20, GE21, GE22</t>
  </si>
  <si>
    <t>2406/2026</t>
  </si>
  <si>
    <t>Se inactivan los riesgos relacionados con Operación Urbana. Decisión tomada en el Equipo Primario de la Subdirección de Planeación del 10 de junio de 2026.</t>
  </si>
  <si>
    <t>Junio de 2026</t>
  </si>
  <si>
    <t>Director (a)
Subdirector (a) de Planeación</t>
  </si>
  <si>
    <t>4. en la etapa de estructuración, se inviabilicen los predios con potencial de desarrollo de proyectos de vivienda VIP y/o VIS asignados. (Ver riesgo GE27 en esta matriz)</t>
  </si>
  <si>
    <r>
      <t xml:space="preserve">Se materializó el Riesgo?  (Ver evento potencial principal en Columna F. Relacionar detalles de la materialización - que, como, cuando, donde):
El riesgo no se materializa. Con corte del mes de junio de 2026, se han realizado las entregas de vivienda a los hogares beneficiados con el SDV de acuerdo con las metas establecidas para la vigencia 2026. Incluso con corte del mes de junio de 2026 se ha cumplido la meta de la vigencia 2026.
Meta 2026: 315 | Avance Junio 2026: 349 | % Cump: 111%
Meta Acumulada 2026: 949 | Entregas acumuladas junio 2026: 855 | % Cump: 90,5
Meta del Plan de Desarrollo a 2027: 1.260
Se tiene la siguiente proyección de entregas a Diciembre de 2027, con las cuales se superará ampliamente la meta de cuatrienio como se muestra a continuación:
Ciudad del Este – Etapa C: 448
Brezze – Etapa 1: 320
La playita: 19
Colinita: 12
Apartamentos proyectos históricos: 30
Total Entregas proyectadas: 829
Total Entregas Cuatrienio: 1684 | Cumplimiento Proyectado Cuatrienio: 134%
Los Controles están bien  diseñados, se aplican de acuerdo al diseño  y son efectivos? (Ver controles en la columna P / Concluir frente a cada control)
</t>
    </r>
    <r>
      <rPr>
        <b/>
        <sz val="11"/>
        <color theme="1"/>
        <rFont val="Arial Narrow"/>
        <family val="2"/>
      </rPr>
      <t>Se resalta la implementación de las siguientes medidas:
Gestión de problemas técnicos, financieros y jurídicos durante la ejecución de las obras.</t>
    </r>
    <r>
      <rPr>
        <sz val="11"/>
        <color theme="1"/>
        <rFont val="Arial Narrow"/>
        <family val="2"/>
      </rPr>
      <t xml:space="preserve">
- Se vienen realizando reuniones de seguimiento periódicas con la Dirección de la entidad a través de la cuales se realizan seguimiento a los proyectos que se encuentran en ejecución y los próximos a ejecutar (Ciudad del Este etapa C y Brezze – inicio proyectado agosto de 2026 ).
</t>
    </r>
    <r>
      <rPr>
        <b/>
        <sz val="11"/>
        <color theme="1"/>
        <rFont val="Arial Narrow"/>
        <family val="2"/>
      </rPr>
      <t>Estructuración de proyectos en predios con potencial de desarrollo de proyectos de vivienda VIP y/o VIS asignados a la línea Urbana.</t>
    </r>
    <r>
      <rPr>
        <sz val="11"/>
        <color theme="1"/>
        <rFont val="Arial Narrow"/>
        <family val="2"/>
      </rPr>
      <t xml:space="preserve">
- Los proyectos Brezze, Colinas de occidente, y redensificación (acacias de los bernal, versalles y pinares), actualmente se encuentran en etapa de estructuración y no se presentan situaciones para inviabilizarlos. Los controles asociados al riesgo GE27 están adecuadamente diseñados y se implementan de manera eficaz.
</t>
    </r>
    <r>
      <rPr>
        <b/>
        <sz val="11"/>
        <color theme="1"/>
        <rFont val="Arial Narrow"/>
        <family val="2"/>
      </rPr>
      <t xml:space="preserve">
Gestión de predios viables para la ejecución de vivienda social y asequible de tipología VIS / VIP
</t>
    </r>
    <r>
      <rPr>
        <sz val="11"/>
        <color theme="1"/>
        <rFont val="Arial Narrow"/>
        <family val="2"/>
      </rPr>
      <t xml:space="preserve">- Se realizó la revisión de 633 bienes a nombre del Instituto de los cuales fueron identificados 594 con titularidad vigente del Instituto. De estos, se catalogaron en 434 lotes de los cuales 6 se encuentran en fiducias, 21 locales, de los cuales 18 están asociados a las oficinas de Megacentro, 6 vías asociadas a proyectos entregados previamente y 171 apartamentos. Se inició el saneamiento de 36 apartamentos y están en proceso 80 apartamentos más. Se identificaron 5 predios con potencial público que fueron socializados con la Secretaria de Bienes y Servicios y el DAP de los cuales uno se encuentra en proceso de entrega como sesión anticipada de obligaciones para los proyectos de redensificación. Adicionalmente se identificaron 17 predios con potencial para el desarrollo de vivienda que en este momento se encuentran en revisión jurídica y normativa por parte de la línea urbana. Finalmente se encuentran 8 predios con proyectos en liquidación los cuales deberán validar su potencial para proyectos de vivienda o potencial público.
- Se realizó la solicitud de sesión a título gratuito de 17 inmuebles en mayo de 2025, de los cuales se aprobó el traslado de 15. Sin embargo, posterior al análisis de prefactibilidad urbanística y financiera se encontró que los 2 predios asociados al proyecto 13 de noviembre, identificados con CBML No 08110020006 y 08110020029 debían ser rechazados dado que en visitas a sitio desarrolladas por el equipo técnico se evidenció una construcción colindante con registros que previamente no se habían identificado lo que redujo el área de intervención, el número de unidades de vivienda y por ende afectó el cierre financiero. Por esta razón se realizó la renuncia a estos 2 predios.
- Se realizó la revisión de 5 predios entregados por privados para análisis de potencial para proyectos de vivienda, de los cuales 3 fueron rechazados y 2 se encuentran aún en revisión.
Con relación al Banco de proyectos, se realizó un concepto jurídico con el paso a paso para desarrollar este proceso. En consecuencia, se contrató a un profesional especializado en el tema para desarrollar el plan de trabajo.
</t>
    </r>
    <r>
      <rPr>
        <b/>
        <sz val="11"/>
        <color theme="1"/>
        <rFont val="Arial Narrow"/>
        <family val="2"/>
      </rPr>
      <t>Gestión por parte de la Subdirección Poblacional para lograr el cierre financiero de los hogares con el propósito de asignar el SDV en la modalidad de vivienda nueva (demanda libre):</t>
    </r>
    <r>
      <rPr>
        <sz val="11"/>
        <color theme="1"/>
        <rFont val="Arial Narrow"/>
        <family val="2"/>
      </rPr>
      <t xml:space="preserve">
- La estrategia Compra tu casa para que los hogares pudieran acceder al SDV aplicable en proyectos habitacionales de Medellín cuya escrituración fuera máximo a diciembre de 2028, fue suspendida el 15 de enero de 2026. Los recursos serán reorientados a otras necesidades. En la actualidad se están revisando las inscripciones y postulaciones de los hogares para los proyectos habitacionales Verde Agua y Brezze, cuyo subsidio aplica a la cuota inicial.
- El 16 de julio de 2026 se inicia con los semilleros "Vivienda un proyecto familiar" de Brezze y el 21 de julio con el proyecto verde agua.
- se continúa implementando los memorandos de entendimiento con las diferentes entidades con las que se tiene alianzas, con el propósito, entre otros, de aunar esfuerzos y acercar la oferta hipotecaria a los hogares.
Se resaltan las acciones implementadas con el fondo nacional del ahorro y VIVA.  En la actualidad se continúa realizando encuentros entre la población y el fondo nacional del ahorro quien ofrece menor tasa de interés a los créditos hipotecarios y tienen convenio con VIVA para que estos pueden acceder a un subsidio de $2.100.000, permitiendo además la adquisición de crédito hipotecario en menor tiempo.
Que acciones propones o se están llevando a cabo para gestionar el riesgo que se materializó? (Si no aplica colocar N/A)
NA</t>
    </r>
  </si>
  <si>
    <r>
      <rPr>
        <b/>
        <sz val="11"/>
        <rFont val="Calibri"/>
        <family val="2"/>
        <scheme val="minor"/>
      </rPr>
      <t xml:space="preserve">Estructuración de proyectos en predios con potencial de desarrollo de proyectos de vivienda VIP y/o VIS asignados a la línea Urbana.
</t>
    </r>
    <r>
      <rPr>
        <sz val="11"/>
        <rFont val="Calibri"/>
        <family val="2"/>
        <scheme val="minor"/>
      </rPr>
      <t>Ver evidencias relacionadas en riesgo GE27.</t>
    </r>
    <r>
      <rPr>
        <b/>
        <sz val="11"/>
        <rFont val="Calibri"/>
        <family val="2"/>
        <scheme val="minor"/>
      </rPr>
      <t xml:space="preserve">
Gestión de Suelo para proyectos VIS/VIP</t>
    </r>
    <r>
      <rPr>
        <u/>
        <sz val="11"/>
        <color theme="10"/>
        <rFont val="Calibri"/>
        <family val="2"/>
        <scheme val="minor"/>
      </rPr>
      <t xml:space="preserve">
https://isvimedgovco-my.sharepoint.com/:f:/g/personal/leydy_jaramillo_isvimed_gov_co/IgDwGPxjW1FgT7hzun_YqV-hAdSutnug-HsTTaZwX03gRAo?e=6qs3At
https://isvimedgovco-my.sharepoint.com/:f:/g/personal/leydy_jaramillo_isvimed_gov_co/IgB_w7jsbCXHSYzuiRAmorNdASM-QNl1CBAhgE4qt1Zazx8?e=8v7NUc
https://isvimedgovco-my.sharepoint.com/:f:/g/personal/leydy_jaramillo_isvimed_gov_co/IgAe1ilYkO3-QYAeboEkPXtrAdd_BupVlkKpzX17pMfxFes?e=RlmInA
</t>
    </r>
    <r>
      <rPr>
        <b/>
        <sz val="11"/>
        <rFont val="Calibri"/>
        <family val="2"/>
        <scheme val="minor"/>
      </rPr>
      <t>Gestión Subdirección Poblacional para facilitar el cierre financiero de los hogares para asignación del SDV demanda libre:</t>
    </r>
    <r>
      <rPr>
        <b/>
        <u/>
        <sz val="11"/>
        <color theme="10"/>
        <rFont val="Calibri"/>
        <family val="2"/>
        <scheme val="minor"/>
      </rPr>
      <t xml:space="preserve">
</t>
    </r>
    <r>
      <rPr>
        <u/>
        <sz val="11"/>
        <color theme="10"/>
        <rFont val="Calibri"/>
        <family val="2"/>
        <scheme val="minor"/>
      </rPr>
      <t>https://isvimedgovco.sharepoint.com/:x:/s/8Poblacional-11.Viviendanueva/IQD5sT-1ZLmbRIVShuHvtRnFASi5wXFM9b7F3JRDXLbgqkU?e=BJq0gM
https://isvimedgovco.sharepoint.com/:x:/s/8Poblacional-11.Viviendanueva/IQBE-BP3iRJKTZF1v9W3C_VuAf4DPWoAswRDFqh-mbOrp_c?e=935W4A
https://isvimedgovco.sharepoint.com/:f:/s/8Poblacional-11.Viviendanueva/IgBs9cxAMIr5Sbp57_Oqh4UdAfX9NEYGK1VX-lbSXX90w9U?e=XDf1Wh</t>
    </r>
  </si>
  <si>
    <t>Se materializó el Riesgo?  Durante el segundo trimestre, no se materializo el riesgo,  los indicadores fueron reportados en el SMO en el tiempo establecido de manera oportuna y adecuada y se realizaron los reportes correspondientes en la plataformas. 
Los Controles están bien  diseñados, se aplican de acuerdo al diseño  y son efectivos? Los controles se encuentran adecuadamente diseñados y se aplicaron correctamente durante el segundo trimestre. 
Que acciones propones o se están llevando a cabo para gestionar el riesgo que se materializó? N/A
Que acciones propones o se están llevando a cabo para fortalecer los controles? No aplica por cuanto no ha sido necesario documentar acciones frente a materialización del riesgo o para fortalecer controles.</t>
  </si>
  <si>
    <r>
      <rPr>
        <b/>
        <sz val="11"/>
        <color theme="1"/>
        <rFont val="Arial Narrow"/>
        <family val="2"/>
      </rPr>
      <t xml:space="preserve">Evidencias de aplicación de Controles
Ficha técnica de indicadores con información reportada en el SMO: </t>
    </r>
    <r>
      <rPr>
        <sz val="11"/>
        <color theme="1"/>
        <rFont val="Arial Narrow"/>
        <family val="2"/>
      </rPr>
      <t xml:space="preserve"> 
https://sifi.isvimed.gov.co/indicadores
</t>
    </r>
    <r>
      <rPr>
        <b/>
        <sz val="11"/>
        <color theme="1"/>
        <rFont val="Arial Narrow"/>
        <family val="2"/>
      </rPr>
      <t>Correo electrónico con solicitud de cargue para indicadores:</t>
    </r>
    <r>
      <rPr>
        <sz val="11"/>
        <color theme="1"/>
        <rFont val="Arial Narrow"/>
        <family val="2"/>
      </rPr>
      <t xml:space="preserve"> 
https://goo.su/2s3L3G6
</t>
    </r>
    <r>
      <rPr>
        <b/>
        <sz val="11"/>
        <color theme="1"/>
        <rFont val="Arial Narrow"/>
        <family val="2"/>
      </rPr>
      <t>Seguimiento Plan de acción (PA) y el Plan Indicativo ( PI ) ( Formatos ):</t>
    </r>
    <r>
      <rPr>
        <sz val="11"/>
        <color theme="1"/>
        <rFont val="Arial Narrow"/>
        <family val="2"/>
      </rPr>
      <t xml:space="preserve">
https://goo.su/2s3L3G6
</t>
    </r>
    <r>
      <rPr>
        <b/>
        <sz val="11"/>
        <color theme="1"/>
        <rFont val="Arial Narrow"/>
        <family val="2"/>
      </rPr>
      <t>Publicación del Plan de acción (PA) y el Plan Indicativo ( PI )( En la página web ) :</t>
    </r>
    <r>
      <rPr>
        <sz val="11"/>
        <color theme="1"/>
        <rFont val="Arial Narrow"/>
        <family val="2"/>
      </rPr>
      <t xml:space="preserve">
https://isvimed.gov.co/transparencia/plan-de-accion/
https://isvimed.gov.co/transparencia/plan-indicativo/</t>
    </r>
  </si>
  <si>
    <t>Se materializó el Riesgo?  (Ver evento potencial principal en Columna F. Relacionar detalles de la materialización - que, como, cuando, donde): Para el segundo trimestre, no se materializa el riesgo, toda vez que los proyecos de Inversión cuenta con los recursos asignados en el presupuesto de inversión del distrito. En este periodo, se realiza la adición de recursos del balance, recursos de superávit y reservas presupuestaes que fortalecen el presupuesto del Instituto, con el fin de lograr el cumplimiento de las metas establecidas en el Plan de desarrollo. 
Los Controles están bien  diseñados, se aplican de acuerdo al diseño  y son efectivos? (Ver controles en la columna P / Concluir frente a cada control). Los controles estan diseñados de acuerdo a las necesidades de ejecución del presupuesto de inversión en las distintas plataformas del banco de proyectos y del DNP.
Que acciones propones o se están llevando a cabo para gestionar el riesgo que se materializó? (Si no aplica colocar N/A). No aplica, toda vez que no hay materialización del riesgo.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 toda vez que no se materializó el riesgo.</t>
  </si>
  <si>
    <t>1. Movimientos presupuestales
https://isvimedgovco.sharepoint.com/:f:/s/7Planeacion/IgD-Zo2L0JN7SYX-s5ES9sviAbShn9KhRqC3axRy75Wc1QI?e=dNEJ5X</t>
  </si>
  <si>
    <t xml:space="preserve">Se materializó el Riesgo?  (Ver evento potencial principal en Columna F. Relacionar detalles de la materialización - que, como, cuando, donde):
No se materializa el riesgo. Tanto el evento potencial principal como los intermedios (eventos de causas) no continuan vigentes, de acuerdo con el analisis del contexto.
Los Controles están bien  diseñados, se aplican de acuerdo al diseño  y son efectivos? (Ver controles en la columna P / Concluir frente a cada control)
Los controles estan adecuadamente diseñados y se aplican correctamente con relación a los eventos de causa 1-2 y 3.: No se materializa este riesgo, toda vez que durante el presente trimestre se evidencia el cumplimiento de los proyectos y acciones contemplados en la Política Pública de Inquilinatos. Entre los principales avances se destacan la realización de la Mesa de Trabajo para los Inquilinatos de Medellín, la articulación con las dependencias y entidades del conglomerado público para acercar la oferta institucional a la población habitante de inquilinatos, así como el desarrollo de otras acciones orientadas al cumplimiento de los objetivos de la política pública.
Que acciones propones o se están llevando a cabo para gestionar el riesgo que se materializó? (Si no aplica colocar N/A)
No son necesarias debido a que los riesgos no se materializaron. N/A
Que acciones propones o se están llevando a cabo para fortalecer los controles? (En el caso de que tener Acciones de mejora / Acciones correctivas en proceso, relacionar el avance. Si tienes acciones específicas a desarrollar en la columna AJ, también relacionar el avance.     No son necesarias debido a que los riesgos no se materializaron y  no se cuenta con acciones en la columna AJ de esta Matriz.              </t>
  </si>
  <si>
    <t>Evidencia: https://isvimedgovco.sharepoint.com/:b:/s/7Planeacion-Pla_Social/IQCfiylxkNp0TauOy7bydNKRAataYEwgGlYeAyN3lo2RZfw?e=KOyy9p                               Evidencia: https://isvimedgovco.sharepoint.com/:b:/s/7Planeacion-Pla_Social/IQCMzCzjKNfiTrh4q25si40oATBPCIZLcqjfx8AZ2BW5FxI?e=vvfD7X</t>
  </si>
  <si>
    <t>Se materializó el Riesgo?  (Ver evento potencial principal en Columna F. Relacionar detalles de la materialización - que, como, cuando, donde):          No se materializa toda vez que se evidencia el cumplimiento de las acciones y proyectos de la política pública de Inquilinatos  durante el trimestre. Se realiza articulación  con las entidades y dependencias del distrito para el acompañamiento social a la población habitante de Inquilinatos (METIM).
Los Controles están bien  diseñados, se aplican de acuerdo al diseño  y son efectivos? (Ver controles en la columna P / Concluir frente a cada control)
Los controles estan adecuadamente diseñados y se aplican correctamente con relación a los eventos de causa: Control 1: Se realizó la reunión de la Mesa de Trabajo para los Inquilinatos de Medellín (METIM), con la participación de las dependencias y entidades vinculadas mediante el Decreto 0145 de 2019. En este encuentro asistieron 15 entidades, las cuales fueron articuladas a las acciones de acompañamiento social dirigidas a la población habitante de inquilinatos, fortaleciendo la coordinación interinstitucional para la implementación de la Política Pública de Inquilinatos.  Control 2: La vinculación de las entidades se realiza a través de la Comisión de Garantía de Derechos de los Habitantes de Inquilinatos, conformada por los delegados designados por las entidades que integran la Mesa de Trabajo para los Inquilinatos de Medellín (METIM). En este espacio se coordina la ejecución del plan de trabajo, cuyas actividades se desarrollan a partir del mes de abril, en articulación con las entidades participantes.
Que acciones propones o se están llevando a cabo para gestionar el riesgo que se materializó? (Si no aplica colocar N/A)
No son necesarias debido a que los riesgos no se materializaron. N/A
Que acciones propones o se están llevando a cabo para fortalecer los controles? (En el caso de que tener Acciones de mejora / Acciones correctivas en proceso, relacionar el avance. Si tienes acciones específicas a desarrollar en la columna AJ, también relacionar el avance):   No son necesarias debido a que los riesgos no se materializaron y  no se cuenta con acciones en la columna AJ de esta Matriz.</t>
  </si>
  <si>
    <t>Evidencia: https://isvimedgovco.sharepoint.com/:b:/s/7Planeacion-Pla_Social/IQDd5rFtjRufSr27QwoMDPuRAbKHRW4w_y_gygZIHR_dwDA?e=X3dnPR</t>
  </si>
  <si>
    <t xml:space="preserve">Evidencia:  https://isvimedgovco.sharepoint.com/:b:/s/7Planeacion-Pla_Social/IQDFG4-Y6aSwRq3HgZbxfPRJAQ3L9uDibROaRi5xxmidKYo?e=WKUFvv               https://isvimedgovco.sharepoint.com/:f:/s/7Planeacion-Pla_Social/IgBGoRGNF4cqTadLsTbpLTTWAWciIDTmZLFd-wi4mBwB4MM?e=eg3o9S               https://isvimedgovco.sharepoint.com/:f:/s/7Planeacion-Pla_Social/IgBo0bMn70lFQKDhRQikSVNWAZXkCUH0mYRCzWhMoOiTd-w?e=ZFTQ0L                   </t>
  </si>
  <si>
    <t>"Se materializó el Riesgo?  (Ver evento potencial principal en Columna F. Relacionar detalles de la materialización - que, como, cuando, donde):
NO SE HA MATERIALIZADO EN LOS PROYECTOS BREZZE. COLINAS DE OCCIDENTE, Y REDENSIFICACIÓN (ACACIAS DE LOS BERNAL, VERSALLES Y PINARES), QUE ACTUALMENTE SE ENCUENTRAN EN ETAPA DE ESTRUCTURACIÓN.
Los Controles están bien  diseñados, se aplican de acuerdo al diseño  y son efectivos? (Ver controles en la columna P / Concluir frente a cada control):
1:El control está bien diseñado, al incorporar validación con entidad competente y lineamientos del ISVIMED. Se aplica de acuerdo con su diseño, mediante consulta y revisión técnica. Es efectivo, al asegurar alineación normativa y técnica desde etapas tempranas.
2:El control está bien diseñado, al incluir seguimiento a estudios ambientales requeridos. Se aplica de acuerdo con su diseño, mediante cronogramas y verificación de entregables. Es efectivo, ya que permite asegurar el cumplimiento de requisitos ambientales y la completitud de la información.
3: Este control no fue implementado, toda vez que para este período no se realizó análisis jurídico de predios
4:El control está bien diseñado, al complementar la revisión documental con verificación física y catastral. Se aplica de acuerdo con su diseño, mediante inspección y validación jurídica. Es efectivo, al detectar posibles inconsistencias no registradas que puedan afectar la viabilidad del proyecto.
5: El control está bien diseñado, al garantizar la contratación y validación de estudios técnicos. Se aplica de acuerdo con su diseño, mediante seguimiento y verificación frente a lineamientos del ISVIMED. Es efectivo, al asegurar la calidad y completitud de los insumos técnicos del proyecto.
6: Este control no fue implementado, toda vez que para este período no se solicitó acompañamiento de la subdirección Poblacional
7: El control está bien diseñado, al exigir estructuración financiera basada en insumos técnicos reales. Se aplica conforme a su diseño, mediante revisión y ajuste de costos. Es efectivo, al asegurar presupuestos completos y realistas para la toma de decisiones.
8: Este control no fue implementado, toda vez que para este período no se realizó análisis de mercado
9: El control está bien diseñado, al establecer coordinación interinstitucional para permisos y licencias. Se aplica conforme a su diseño, mediante mesas técnicas y seguimiento de requisitos. Es efectivo, al asegurar cumplimiento oportuno de trámites y reducir riesgos en la estructuración.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N/A</t>
  </si>
  <si>
    <r>
      <t>1.1. y 1.2   El contraol fue eefectivo como se puede evidenciar en el informe Oficio renuncia solicitud de predios correspondiente al proyecto 13 de Noviembre, donde una vez analizada la información normativa y financiera se determino que el proyecto no era viable. Se adjunta el Link como evidencia https://isvimedgovco.sharepoint.com/sites/7Planeacion-Pla_Urbanistica/Documentos%20compartidos/Forms/AllItems.aspx?id=%2Fsites%2F7Planeacion-Pla_Urbanistica%2FDocumentos%20compartidos%2FLinea_Urbana%2F_PROYECTOS%2F28%2E%2013%20De%20noviembre%2FRENUNCIA&amp;viewid=2dd00e51-d816-465c-b07a-ac38ca92939f
2.2 De acuerdo al segumiento ambiental de los proyectos, la profesional ambiental de la Linea Urbana gestiono, reviso y radico la informacion tecnica ambiental requerida para el ttramite de  los permisos ambientales ante la utoridad ambiental de los proyectos Colinas de Occidente y Brezze. Se adjunta el Link como evidencia: https://isvimedgovco.sharepoint.com/:f:/s/7Planeacion-Pla_Urbanistica/IgBgd_JcLDdETL1ASvscb2OVAZt4OYAuy53zD0P7_wxMHns?e=miFhpM
https://isvimedgovco.sharepoint.com/:f:/s/7Planeacion-Pla_Urbanistica/IgDf31hmLRyXSrHzV9HhKkJCARp-qaCl2QCZsGS_Vtt1mTw?e=w9aM2p
https://isvimedgovco.sharepoint.com/:f:/s/7Planeacion-Pla_Urbanistica/IgDtrIohXZ1BSZ9bKPsrs2VwAT9pZ0rkY6ph1cwWJElOSfE?e=n8snMt
4. Se realizó visita física a predios del Instituto los cuales se detallan en el informe ajunto a través del siguiente</t>
    </r>
    <r>
      <rPr>
        <sz val="11"/>
        <rFont val="Arial Narrow"/>
        <family val="2"/>
      </rPr>
      <t xml:space="preserve"> Link: https://isvimedgovco.sharepoint.com/:f:/s/7Planeacion-Pla_Urbanistica/IgAHqs--4TdmS5UArvQiLYDmAbEHIs18XCJT_R2vQTOooM4?e=284B2v</t>
    </r>
    <r>
      <rPr>
        <sz val="11"/>
        <color theme="1"/>
        <rFont val="Arial Narrow"/>
        <family val="2"/>
      </rPr>
      <t xml:space="preserve">
7. Se realizó cuadro de costos de los proyectos listados en el archivo que se adjunta como evidencia el link: https://isvimedgovco.sharepoint.com/:x:/s/7Planeacion-Pla_Urbanistica/IQDDCYL7VAcMQpD9yb1XakigAQ51FUOR3SsexJr8qKpBEXY?e=4vGWRo</t>
    </r>
  </si>
  <si>
    <t>El profesional del equipo de Línea Urbana encargado del proyecto, realiza una consulta actualizada con el Departamento Administrativo de Planeación y realiza revisión del manual de estudios y diseños del ISVIMED, para determinar que el predio cumple con las condiciones requeridas para el desarrollo del proyecto, de no cumplir con las mismas, el proyecto se inviabiliza.</t>
  </si>
  <si>
    <t>El profesional ambiental del equipo de Línea Urbana encargado del proyecto, verifica la contratación de estudios ambientales requeridos por la autoridad ambiental por parte del desarrollador o encargado, según aplique, realizando seguimiento mediante cronograma de estudios y entregables técnicos. En caso tal de faltar algún componente se solicitara al desarrollador o al encargado allegar la información faltante.</t>
  </si>
  <si>
    <t>El profesional del equipo de Línea Urbana encargado del proyecto, vela por la contratación de estudios técnicos  requeridos para el desarrollo del proyecto por parte del desarrollador y los valida según lo definido en manual de estudios y diseños de ISVIMED, en caso tal de faltar algún componente se solicitara al desarrollador o al encargado realizar la respectiva contratación.</t>
  </si>
  <si>
    <t>El profesional del equipo Social del ISVIMED encargado del proyecto, coordina y garantiza que se realice la socialización temprana y garantiza la participación ciudadana de las comunidades aledañas desde la etapa de prefactibilidad del proyecto para evitar conflictos sociales o resistencia a la ejecución del proyecto, en el caso de que no sea posible contar con el apoyo de la población se podrá inviabilizar el proyecto.</t>
  </si>
  <si>
    <t>Se materializó el Riesgo?  (Ver evento potencial principal en Columna F. Relacionar detalles de la materialización - que, como, cuando, donde): No se ha materializado el riesgo durante el trimestre, toda vez que el tramite de aprovechamiento forestal y ocupación de cauce para el tramo de vía faltante del proyecto Brezze aún está en los tiempos para respsuesta por parte del AMVA.
Los Controles están bien  diseñados, se aplican de acuerdo al diseño  y son efectivos? (Ver controles en la columna P / Concluir frente a cada control): se valido la hoja de vida establecida por la Autoridad Ambiental -AMVA para los tramites de aprovechamiento forestal y ocupación de cauce para el tramo de vía faltante del proyecto Brezze.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gestionó ante el Ärea Metropolitana del Valle de Aburrá las "hojas de vida" para los tramites de aprovechamiento forestal y ocupación de cauce, las cuales establecen las condiciones mínimas que se deben cumplir.</t>
  </si>
  <si>
    <t>Como evidencia de la gestión del tramite de los permisos  de aprovechamiento forestal y ocupación de cauce para el tramo de vía faltante del proyecto Brezze, se adjunta como evidencia el link .con la información requerida para el tramite de los permisos ambientales: 
https://isvimedgovco.sharepoint.com/:f:/s/7Planeacion-Pla_Urbanistica/IgCvGg905XwsQpYD9SsdkQAOAYpcFseGBSU8OH4uFqQdXJo?e=d6vThl
https://isvimedgovco.sharepoint.com/:f:/s/7Planeacion-Pla_Urbanistica/IgCpFYeF4HDZRrbkVcaCTCmzAWwvt3LobiY_7KEusxD-UkI?e=HKSeS5</t>
  </si>
  <si>
    <t>Riesgo materializado. Durante el segundo trimestre de 2026, el riesgo continúa materializándose debido a que la información utilizada para el reporte de algunos indicadores institucionales no cuenta, en todos los casos, con una trazabilidad completa desde el Sistema de Información del Instituto (SIFI) hasta los reportes mensuales consolidados. Esto puede generar que la información registrada en las diferentes herramientas de seguimiento no siempre sea consistente entre sí, lo que evidencia la necesidad de fortalecer los procesos de gestión y articulación de los datos institucionales.
Es importante precisar que esta situación no está relacionada con la calidad de las fuentes de información externas utilizadas por el Instituto. Por el contrario, varios de los indicadores y análisis institucionales se construyen a partir de fuentes oficiales y confiables, como la base de datos del SISBÉN IV, que constituye un insumo técnico fundamental para la caracterización de la población y la construcción de indicadores. En estos casos, la información utilizada es sólida y pertinente; el reto está en garantizar que su incorporación, procesamiento y reporte cuenten con mecanismos claros de trazabilidad y documentación que permitan hacer seguimiento a los datos desde su origen hasta su presentación en los informes institucionales.
Con el fin de mitigar este riesgo, la Subdirección de Planeación continúa avanzando en la estructuración e implementación de la acción de mejora No. 151, con el apoyo del profesional de estadística, la cual contempla el diseño y desarrollo integral de la Política de Gestión de la Información Estadística en el marco del Modelo Integrado de Planeación y Gestión (MIPG). Esta acción busca fortalecer los procesos de producción, validación, documentación y trazabilidad de la información institucional, garantizando una mayor coherencia, oportunidad y calidad en los datos utilizados para el seguimiento de los indicadores.
El seguimiento al riesgo se realiza a partir de los avances registrados en la acción de mejora No. 151, los cuales evidencian el trabajo que viene adelantando el Instituto para fortalecer la gestión de la información estadística y asegurar una adecuada trazabilidad de los datos institucionales. Los soportes y avances de esta acción se encuentran disponibles para consulta en el Sistema de Información del Instituto (SIFI).</t>
  </si>
  <si>
    <t>Se materializó el Riesgo?  (Ver evento potencial principal en Columna F. Relacionar detalles de la materialización - que, como, cuando, donde):
No se materializa el riesgo. Al corte de este seguimiento aún no se realizan reuniones del Consejo Consultivo Distrital de la Política Habitacional. Se deben realizar 2 sesiones del Consejo al año. Se estarán realizando durante el segundo semestre del año
Los Controles están bien  diseñados, se aplican de acuerdo al diseño  y son efectivos? (Ver controles en la columna P / Concluir frente a cada control)
Los controles están adecuadamente diseñados y se aplican correctamente con realción a los eventos de causa 1 y 2.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No se cuenta con ninguna observación en la columna 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</si>
</sst>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4"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rgb="FF000000"/>
      <name val="Arial"/>
      <family val="2"/>
    </font>
    <font>
      <sz val="11"/>
      <name val="Arial"/>
      <family val="2"/>
    </font>
    <font>
      <sz val="12"/>
      <color theme="1"/>
      <name val="Arial"/>
      <family val="2"/>
    </font>
    <font>
      <sz val="11"/>
      <color rgb="FFFF0000"/>
      <name val="Arial Narrow"/>
      <family val="2"/>
    </font>
    <font>
      <b/>
      <sz val="11"/>
      <color rgb="FF000000"/>
      <name val="Arial Narrow"/>
      <family val="2"/>
    </font>
    <font>
      <b/>
      <sz val="9"/>
      <color indexed="81"/>
      <name val="Tahoma"/>
      <family val="2"/>
    </font>
    <font>
      <sz val="9"/>
      <color indexed="81"/>
      <name val="Tahoma"/>
      <family val="2"/>
    </font>
    <font>
      <sz val="11"/>
      <color rgb="FF000000"/>
      <name val="Arial Narrow"/>
      <family val="2"/>
    </font>
    <font>
      <sz val="12"/>
      <color indexed="8"/>
      <name val="Arial"/>
      <family val="2"/>
    </font>
    <font>
      <b/>
      <sz val="10"/>
      <color rgb="FFFF0000"/>
      <name val="Arial Narrow"/>
      <family val="2"/>
    </font>
    <font>
      <b/>
      <sz val="10"/>
      <color theme="1"/>
      <name val="Arial Narrow"/>
      <family val="2"/>
    </font>
    <font>
      <b/>
      <sz val="10"/>
      <name val="Arial Narrow"/>
      <family val="2"/>
    </font>
    <font>
      <b/>
      <sz val="10"/>
      <color theme="1"/>
      <name val="Arial"/>
      <family val="2"/>
    </font>
    <font>
      <sz val="10"/>
      <color theme="1"/>
      <name val="Arial"/>
      <family val="2"/>
    </font>
    <font>
      <b/>
      <sz val="12"/>
      <color theme="1"/>
      <name val="Arial"/>
      <family val="2"/>
    </font>
    <font>
      <u val="double"/>
      <sz val="11"/>
      <name val="Arial Narrow"/>
      <family val="2"/>
    </font>
    <font>
      <sz val="14"/>
      <name val="Arial Narrow"/>
      <family val="2"/>
    </font>
    <font>
      <u val="double"/>
      <sz val="11"/>
      <color theme="5" tint="0.39997558519241921"/>
      <name val="Arial Narrow"/>
      <family val="2"/>
    </font>
    <font>
      <sz val="12"/>
      <color rgb="FFFF0000"/>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b/>
      <u/>
      <sz val="11"/>
      <color theme="10"/>
      <name val="Calibri"/>
      <family val="2"/>
      <scheme val="minor"/>
    </font>
  </fonts>
  <fills count="23">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theme="0"/>
        <bgColor theme="0"/>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5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9">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13" fillId="0" borderId="0"/>
    <xf numFmtId="0" fontId="30" fillId="0" borderId="0"/>
    <xf numFmtId="0" fontId="69" fillId="0" borderId="0"/>
    <xf numFmtId="0" fontId="82" fillId="0" borderId="0" applyNumberFormat="0" applyFill="0" applyBorder="0" applyAlignment="0" applyProtection="0"/>
  </cellStyleXfs>
  <cellXfs count="469">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2" fillId="3" borderId="0" xfId="0" applyFont="1" applyFill="1"/>
    <xf numFmtId="0" fontId="23" fillId="3" borderId="11" xfId="0" applyFont="1" applyFill="1" applyBorder="1" applyAlignment="1">
      <alignment horizontal="center" vertical="center" wrapText="1" readingOrder="1"/>
    </xf>
    <xf numFmtId="0" fontId="24" fillId="3" borderId="11" xfId="0" applyFont="1" applyFill="1" applyBorder="1" applyAlignment="1">
      <alignment horizontal="justify" vertical="center" wrapText="1" readingOrder="1"/>
    </xf>
    <xf numFmtId="9" fontId="23" fillId="3" borderId="20" xfId="0" applyNumberFormat="1"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4" fillId="3" borderId="10" xfId="0" applyFont="1" applyFill="1" applyBorder="1" applyAlignment="1">
      <alignment horizontal="justify" vertical="center" wrapText="1" readingOrder="1"/>
    </xf>
    <xf numFmtId="9" fontId="23" fillId="3" borderId="15" xfId="0" applyNumberFormat="1" applyFont="1" applyFill="1" applyBorder="1" applyAlignment="1">
      <alignment horizontal="center" vertical="center" wrapText="1" readingOrder="1"/>
    </xf>
    <xf numFmtId="0" fontId="24" fillId="3" borderId="15"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xf numFmtId="0" fontId="24" fillId="3" borderId="17" xfId="0" applyFont="1" applyFill="1" applyBorder="1" applyAlignment="1">
      <alignment horizontal="justify" vertical="center" wrapText="1" readingOrder="1"/>
    </xf>
    <xf numFmtId="0" fontId="24" fillId="3" borderId="18" xfId="0" applyFont="1" applyFill="1" applyBorder="1" applyAlignment="1">
      <alignment horizontal="center" vertical="center" wrapText="1" readingOrder="1"/>
    </xf>
    <xf numFmtId="0" fontId="29" fillId="3" borderId="0" xfId="0" applyFont="1" applyFill="1"/>
    <xf numFmtId="0" fontId="12" fillId="3" borderId="0" xfId="0" applyFont="1" applyFill="1"/>
    <xf numFmtId="0" fontId="14" fillId="3" borderId="0" xfId="0" applyFont="1" applyFill="1"/>
    <xf numFmtId="0" fontId="4" fillId="3"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0" xfId="0" applyFont="1" applyBorder="1" applyAlignment="1" applyProtection="1">
      <alignment horizontal="center" vertical="center" textRotation="90" wrapText="1"/>
      <protection hidden="1"/>
    </xf>
    <xf numFmtId="0" fontId="28" fillId="0" borderId="0" xfId="0" applyFont="1" applyAlignment="1">
      <alignment horizontal="center" vertical="center"/>
    </xf>
    <xf numFmtId="0" fontId="23" fillId="3" borderId="14" xfId="0" applyFont="1" applyFill="1" applyBorder="1" applyAlignment="1">
      <alignment horizontal="center" vertical="center" wrapText="1" readingOrder="1"/>
    </xf>
    <xf numFmtId="0" fontId="28" fillId="0" borderId="0" xfId="0" applyFont="1" applyAlignment="1">
      <alignment vertical="center"/>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2" borderId="22" xfId="0" applyFont="1" applyFill="1" applyBorder="1" applyAlignment="1">
      <alignment horizontal="center" vertical="center" wrapText="1" readingOrder="1"/>
    </xf>
    <xf numFmtId="0" fontId="23" fillId="12"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23" fillId="3" borderId="0" xfId="0" applyFont="1" applyFill="1" applyAlignment="1">
      <alignment horizontal="center" vertical="center" wrapText="1" readingOrder="1"/>
    </xf>
    <xf numFmtId="0" fontId="24" fillId="3" borderId="0" xfId="0" applyFont="1" applyFill="1" applyAlignment="1">
      <alignment horizontal="justify" vertical="center" wrapText="1" readingOrder="1"/>
    </xf>
    <xf numFmtId="0" fontId="24" fillId="3" borderId="0" xfId="0" applyFont="1" applyFill="1" applyAlignment="1">
      <alignment horizontal="center" vertical="center" wrapText="1" readingOrder="1"/>
    </xf>
    <xf numFmtId="0" fontId="38" fillId="3" borderId="0" xfId="0" applyFont="1" applyFill="1" applyAlignment="1">
      <alignment horizontal="center" vertical="center"/>
    </xf>
    <xf numFmtId="0" fontId="32" fillId="0" borderId="0" xfId="0" applyFont="1"/>
    <xf numFmtId="0" fontId="38" fillId="12" borderId="10" xfId="0" applyFont="1" applyFill="1" applyBorder="1" applyAlignment="1">
      <alignment horizontal="left" vertical="center"/>
    </xf>
    <xf numFmtId="0" fontId="42" fillId="13" borderId="10" xfId="0" applyFont="1" applyFill="1" applyBorder="1" applyAlignment="1">
      <alignment horizontal="center" vertical="center"/>
    </xf>
    <xf numFmtId="0" fontId="42" fillId="13" borderId="10" xfId="0" applyFont="1" applyFill="1" applyBorder="1" applyAlignment="1">
      <alignment horizontal="center" vertical="center" wrapText="1"/>
    </xf>
    <xf numFmtId="0" fontId="43" fillId="16" borderId="40" xfId="4" applyFont="1" applyFill="1" applyBorder="1" applyAlignment="1">
      <alignment horizontal="center" vertical="center"/>
    </xf>
    <xf numFmtId="0" fontId="43" fillId="16" borderId="41" xfId="4" applyFont="1" applyFill="1" applyBorder="1" applyAlignment="1">
      <alignment horizontal="center" vertical="center"/>
    </xf>
    <xf numFmtId="0" fontId="43" fillId="16" borderId="38" xfId="4" applyFont="1" applyFill="1" applyBorder="1" applyAlignment="1">
      <alignment horizontal="center" vertical="center"/>
    </xf>
    <xf numFmtId="0" fontId="43" fillId="0" borderId="0" xfId="4" applyFont="1" applyAlignment="1">
      <alignment horizontal="center" vertical="center"/>
    </xf>
    <xf numFmtId="0" fontId="43" fillId="0" borderId="41" xfId="4" applyFont="1" applyBorder="1" applyAlignment="1">
      <alignment horizontal="center" vertical="center"/>
    </xf>
    <xf numFmtId="0" fontId="43" fillId="0" borderId="0" xfId="4" applyFont="1" applyAlignment="1">
      <alignment horizontal="center" vertical="center" wrapText="1"/>
    </xf>
    <xf numFmtId="0" fontId="43" fillId="0" borderId="41" xfId="4" applyFont="1" applyBorder="1" applyAlignment="1">
      <alignment horizontal="center" vertical="center" wrapText="1"/>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0" borderId="0" xfId="0" applyFont="1" applyFill="1" applyProtection="1">
      <protection hidden="1"/>
    </xf>
    <xf numFmtId="0" fontId="34" fillId="10" borderId="28"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35" fillId="3" borderId="10" xfId="0" applyFont="1" applyFill="1" applyBorder="1" applyAlignment="1" applyProtection="1">
      <alignment horizontal="left" vertical="center" wrapText="1"/>
      <protection hidden="1"/>
    </xf>
    <xf numFmtId="0" fontId="1" fillId="0" borderId="10" xfId="0" applyFont="1" applyBorder="1" applyAlignment="1" applyProtection="1">
      <alignment vertical="center" wrapText="1"/>
      <protection hidden="1"/>
    </xf>
    <xf numFmtId="0" fontId="1" fillId="0" borderId="10" xfId="0" applyFont="1" applyBorder="1" applyAlignment="1" applyProtection="1">
      <alignment horizontal="center" vertical="center" textRotation="90"/>
      <protection hidden="1"/>
    </xf>
    <xf numFmtId="0" fontId="35" fillId="3" borderId="11" xfId="0" applyFont="1" applyFill="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35" fillId="3" borderId="10" xfId="0" applyFont="1" applyFill="1" applyBorder="1" applyAlignment="1" applyProtection="1">
      <alignment vertical="center" wrapText="1"/>
      <protection hidden="1"/>
    </xf>
    <xf numFmtId="0" fontId="35" fillId="3"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left" vertical="center" wrapText="1"/>
      <protection hidden="1"/>
    </xf>
    <xf numFmtId="0" fontId="1" fillId="0" borderId="10" xfId="0" applyFont="1" applyBorder="1" applyAlignment="1" applyProtection="1">
      <alignment horizontal="justify" vertical="center" wrapText="1"/>
      <protection hidden="1"/>
    </xf>
    <xf numFmtId="0" fontId="1" fillId="3" borderId="10" xfId="0" applyFont="1" applyFill="1" applyBorder="1" applyAlignment="1" applyProtection="1">
      <alignment vertical="center"/>
      <protection hidden="1"/>
    </xf>
    <xf numFmtId="0" fontId="2" fillId="0" borderId="10" xfId="0" applyFont="1" applyBorder="1" applyAlignment="1" applyProtection="1">
      <alignment horizontal="center"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35" fillId="0" borderId="10" xfId="0" applyFont="1" applyBorder="1" applyAlignment="1" applyProtection="1">
      <alignment horizontal="left" vertical="center" wrapText="1"/>
      <protection hidden="1"/>
    </xf>
    <xf numFmtId="0" fontId="1" fillId="0" borderId="10" xfId="0" applyFont="1" applyBorder="1" applyAlignment="1" applyProtection="1">
      <alignment horizontal="justify" vertical="center"/>
      <protection hidden="1"/>
    </xf>
    <xf numFmtId="0" fontId="1" fillId="10" borderId="10" xfId="0" applyFont="1" applyFill="1" applyBorder="1" applyAlignment="1" applyProtection="1">
      <alignment horizontal="center"/>
      <protection hidden="1"/>
    </xf>
    <xf numFmtId="0" fontId="1" fillId="10"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protection hidden="1"/>
    </xf>
    <xf numFmtId="0" fontId="1" fillId="0" borderId="0" xfId="0" applyFont="1" applyAlignment="1" applyProtection="1">
      <alignment horizontal="center" vertical="center" wrapText="1"/>
      <protection hidden="1"/>
    </xf>
    <xf numFmtId="0" fontId="1" fillId="3" borderId="10" xfId="0" applyFont="1" applyFill="1" applyBorder="1" applyProtection="1">
      <protection locked="0"/>
    </xf>
    <xf numFmtId="0" fontId="1" fillId="0" borderId="10" xfId="0" applyFont="1" applyBorder="1" applyAlignment="1" applyProtection="1">
      <alignment vertical="center"/>
      <protection hidden="1"/>
    </xf>
    <xf numFmtId="0" fontId="50" fillId="0" borderId="30" xfId="0" applyFont="1" applyBorder="1" applyAlignment="1" applyProtection="1">
      <alignment vertical="center" wrapText="1"/>
      <protection hidden="1"/>
    </xf>
    <xf numFmtId="0" fontId="50" fillId="0" borderId="33" xfId="0" applyFont="1" applyBorder="1" applyAlignment="1" applyProtection="1">
      <alignment vertical="center" wrapText="1"/>
      <protection hidden="1"/>
    </xf>
    <xf numFmtId="0" fontId="1" fillId="0" borderId="30" xfId="0" applyFont="1" applyBorder="1" applyAlignment="1" applyProtection="1">
      <alignment vertical="center" wrapText="1"/>
      <protection hidden="1"/>
    </xf>
    <xf numFmtId="0" fontId="50" fillId="0" borderId="10" xfId="0" applyFont="1" applyBorder="1" applyAlignment="1" applyProtection="1">
      <alignment vertical="center" wrapText="1"/>
      <protection hidden="1"/>
    </xf>
    <xf numFmtId="0" fontId="50" fillId="11" borderId="10" xfId="0" applyFont="1" applyFill="1" applyBorder="1" applyAlignment="1" applyProtection="1">
      <alignment vertical="center" wrapText="1"/>
      <protection hidden="1"/>
    </xf>
    <xf numFmtId="0" fontId="1" fillId="0" borderId="10" xfId="0" applyFont="1" applyBorder="1" applyAlignment="1" applyProtection="1">
      <alignment horizontal="left" vertical="center" wrapText="1"/>
      <protection hidden="1"/>
    </xf>
    <xf numFmtId="0" fontId="2" fillId="0" borderId="11" xfId="0" applyFont="1" applyBorder="1" applyAlignment="1" applyProtection="1">
      <alignment horizontal="center" vertical="center" wrapText="1"/>
      <protection hidden="1"/>
    </xf>
    <xf numFmtId="0" fontId="38" fillId="3" borderId="10" xfId="0" applyFont="1" applyFill="1" applyBorder="1" applyAlignment="1" applyProtection="1">
      <alignment horizontal="left" vertical="center" wrapText="1"/>
      <protection hidden="1"/>
    </xf>
    <xf numFmtId="0" fontId="21" fillId="0" borderId="10" xfId="0" applyFont="1" applyBorder="1" applyAlignment="1" applyProtection="1">
      <alignment horizontal="center" vertical="center"/>
      <protection hidden="1"/>
    </xf>
    <xf numFmtId="0" fontId="21" fillId="0" borderId="10" xfId="0" applyFont="1" applyBorder="1" applyAlignment="1" applyProtection="1">
      <alignment horizontal="center" vertical="center" textRotation="90"/>
      <protection hidden="1"/>
    </xf>
    <xf numFmtId="0" fontId="51" fillId="3" borderId="11" xfId="0" applyFont="1" applyFill="1" applyBorder="1" applyAlignment="1" applyProtection="1">
      <alignment horizontal="center" vertical="center" wrapText="1"/>
      <protection hidden="1"/>
    </xf>
    <xf numFmtId="0" fontId="1" fillId="3" borderId="10" xfId="0" applyFont="1" applyFill="1" applyBorder="1" applyAlignment="1" applyProtection="1">
      <alignment horizontal="left" vertical="top"/>
      <protection locked="0"/>
    </xf>
    <xf numFmtId="0" fontId="1" fillId="3" borderId="0" xfId="0" applyFont="1" applyFill="1" applyAlignment="1" applyProtection="1">
      <alignment horizontal="left" vertical="top"/>
      <protection hidden="1"/>
    </xf>
    <xf numFmtId="0" fontId="1" fillId="0" borderId="0" xfId="0" applyFont="1" applyAlignment="1" applyProtection="1">
      <alignment horizontal="left" vertical="top"/>
      <protection hidden="1"/>
    </xf>
    <xf numFmtId="0" fontId="2" fillId="3" borderId="10" xfId="0" applyFont="1" applyFill="1" applyBorder="1" applyAlignment="1" applyProtection="1">
      <alignment horizontal="center" vertical="center" wrapText="1"/>
      <protection hidden="1"/>
    </xf>
    <xf numFmtId="0" fontId="55" fillId="0" borderId="0" xfId="0" applyFont="1" applyAlignment="1">
      <alignment horizontal="center" vertical="center" wrapText="1"/>
    </xf>
    <xf numFmtId="0" fontId="56" fillId="0" borderId="0" xfId="0" applyFont="1" applyAlignment="1">
      <alignment vertical="center" wrapText="1"/>
    </xf>
    <xf numFmtId="0" fontId="57" fillId="0" borderId="14"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15" xfId="0" applyFont="1" applyBorder="1" applyAlignment="1">
      <alignment horizontal="center" vertical="center" wrapText="1"/>
    </xf>
    <xf numFmtId="0" fontId="45" fillId="17" borderId="14" xfId="0" applyFont="1" applyFill="1" applyBorder="1" applyAlignment="1">
      <alignment horizontal="center" vertical="center" wrapText="1"/>
    </xf>
    <xf numFmtId="9" fontId="45" fillId="0" borderId="10" xfId="0" applyNumberFormat="1" applyFont="1" applyBorder="1" applyAlignment="1">
      <alignment horizontal="center" vertical="center" wrapText="1"/>
    </xf>
    <xf numFmtId="0" fontId="45" fillId="0" borderId="10" xfId="0" applyFont="1" applyBorder="1" applyAlignment="1">
      <alignment vertical="center" wrapText="1"/>
    </xf>
    <xf numFmtId="0" fontId="45" fillId="0" borderId="20" xfId="0" applyFont="1" applyBorder="1" applyAlignment="1">
      <alignment vertical="center" wrapText="1"/>
    </xf>
    <xf numFmtId="0" fontId="45" fillId="18" borderId="14" xfId="0" applyFont="1" applyFill="1" applyBorder="1" applyAlignment="1">
      <alignment horizontal="center" vertical="center" wrapText="1"/>
    </xf>
    <xf numFmtId="0" fontId="45" fillId="0" borderId="10" xfId="0" applyFont="1" applyBorder="1" applyAlignment="1">
      <alignment horizontal="justify" vertical="center" wrapText="1"/>
    </xf>
    <xf numFmtId="0" fontId="45" fillId="0" borderId="15" xfId="0" applyFont="1" applyBorder="1" applyAlignment="1">
      <alignment vertical="center" wrapText="1"/>
    </xf>
    <xf numFmtId="0" fontId="45" fillId="19" borderId="14" xfId="0" applyFont="1" applyFill="1" applyBorder="1" applyAlignment="1">
      <alignment horizontal="center" vertical="center" wrapText="1"/>
    </xf>
    <xf numFmtId="0" fontId="45" fillId="8" borderId="14" xfId="0" applyFont="1" applyFill="1" applyBorder="1" applyAlignment="1">
      <alignment horizontal="center" vertical="center" wrapText="1"/>
    </xf>
    <xf numFmtId="0" fontId="45" fillId="20" borderId="14" xfId="0" applyFont="1" applyFill="1" applyBorder="1" applyAlignment="1">
      <alignment horizontal="center" vertical="center" wrapText="1"/>
    </xf>
    <xf numFmtId="0" fontId="2" fillId="3" borderId="10" xfId="0" applyFont="1" applyFill="1" applyBorder="1" applyAlignment="1" applyProtection="1">
      <alignment vertical="center" wrapText="1"/>
      <protection hidden="1"/>
    </xf>
    <xf numFmtId="0" fontId="2" fillId="0" borderId="10" xfId="0" applyFont="1" applyBorder="1" applyAlignment="1" applyProtection="1">
      <alignment vertical="center" wrapText="1"/>
      <protection hidden="1"/>
    </xf>
    <xf numFmtId="0" fontId="60" fillId="3" borderId="10" xfId="0" applyFont="1" applyFill="1" applyBorder="1" applyAlignment="1" applyProtection="1">
      <alignment horizontal="center" vertical="center" wrapText="1"/>
      <protection hidden="1"/>
    </xf>
    <xf numFmtId="0" fontId="63" fillId="0" borderId="0" xfId="6" applyFont="1" applyAlignment="1">
      <alignment horizontal="center" vertical="center"/>
    </xf>
    <xf numFmtId="0" fontId="64" fillId="21" borderId="0" xfId="6" applyFont="1" applyFill="1"/>
    <xf numFmtId="0" fontId="65" fillId="21" borderId="0" xfId="6"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63" fillId="0" borderId="0" xfId="6" applyFont="1" applyAlignment="1">
      <alignment vertical="center"/>
    </xf>
    <xf numFmtId="0" fontId="30" fillId="21" borderId="0" xfId="6" applyFill="1"/>
    <xf numFmtId="0" fontId="30" fillId="21" borderId="0" xfId="6" applyFill="1" applyAlignment="1">
      <alignment horizontal="center" vertical="center"/>
    </xf>
    <xf numFmtId="0" fontId="30" fillId="21" borderId="0" xfId="6" applyFill="1" applyAlignment="1">
      <alignment horizontal="center"/>
    </xf>
    <xf numFmtId="0" fontId="63" fillId="0" borderId="0" xfId="0" applyFont="1" applyAlignment="1">
      <alignment horizontal="left" vertical="center" wrapText="1"/>
    </xf>
    <xf numFmtId="0" fontId="63" fillId="0" borderId="0" xfId="0" applyFont="1" applyAlignment="1">
      <alignment vertical="center" wrapText="1"/>
    </xf>
    <xf numFmtId="14" fontId="30" fillId="0" borderId="0" xfId="0" applyNumberFormat="1" applyFont="1" applyAlignment="1">
      <alignment vertical="center" wrapText="1"/>
    </xf>
    <xf numFmtId="14" fontId="63"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66" fillId="0" borderId="10" xfId="6" applyFont="1" applyBorder="1" applyAlignment="1">
      <alignment vertical="center" wrapText="1"/>
    </xf>
    <xf numFmtId="0" fontId="66" fillId="0" borderId="0" xfId="6" applyFont="1" applyAlignment="1">
      <alignment vertical="center" wrapText="1"/>
    </xf>
    <xf numFmtId="0" fontId="44" fillId="3" borderId="0" xfId="6" applyFont="1" applyFill="1" applyAlignment="1">
      <alignment horizontal="left" vertical="center" wrapText="1"/>
    </xf>
    <xf numFmtId="0" fontId="30" fillId="21" borderId="2" xfId="6" applyFill="1" applyBorder="1"/>
    <xf numFmtId="0" fontId="30" fillId="21" borderId="9" xfId="6" applyFill="1" applyBorder="1"/>
    <xf numFmtId="0" fontId="63" fillId="0" borderId="19" xfId="6" applyFont="1" applyBorder="1" applyAlignment="1">
      <alignment vertical="center" wrapText="1"/>
    </xf>
    <xf numFmtId="0" fontId="63" fillId="0" borderId="11" xfId="6" applyFont="1" applyBorder="1" applyAlignment="1">
      <alignment vertical="center" wrapText="1"/>
    </xf>
    <xf numFmtId="0" fontId="63" fillId="0" borderId="10" xfId="6" applyFont="1" applyBorder="1" applyAlignment="1">
      <alignment horizontal="center" vertical="center" wrapText="1"/>
    </xf>
    <xf numFmtId="0" fontId="63" fillId="0" borderId="0" xfId="6" applyFont="1" applyAlignment="1">
      <alignment horizontal="center" vertical="center" wrapText="1"/>
    </xf>
    <xf numFmtId="0" fontId="30" fillId="0" borderId="2" xfId="6" applyBorder="1" applyAlignment="1">
      <alignment vertical="center" wrapText="1"/>
    </xf>
    <xf numFmtId="0" fontId="30" fillId="0" borderId="9" xfId="6" applyBorder="1" applyAlignment="1">
      <alignment vertical="center" wrapText="1"/>
    </xf>
    <xf numFmtId="0" fontId="30" fillId="0" borderId="4" xfId="6" applyBorder="1" applyAlignment="1">
      <alignment vertical="center" wrapText="1"/>
    </xf>
    <xf numFmtId="0" fontId="30" fillId="0" borderId="0" xfId="6" applyAlignment="1">
      <alignment vertical="center" wrapText="1"/>
    </xf>
    <xf numFmtId="9" fontId="30" fillId="0" borderId="10" xfId="6" applyNumberFormat="1" applyBorder="1" applyAlignment="1">
      <alignment horizontal="center" vertical="center" wrapText="1"/>
    </xf>
    <xf numFmtId="9" fontId="30" fillId="0" borderId="15" xfId="6" applyNumberFormat="1" applyBorder="1" applyAlignment="1">
      <alignment horizontal="center" vertical="center" wrapText="1"/>
    </xf>
    <xf numFmtId="0" fontId="67" fillId="0" borderId="0" xfId="6" applyFont="1" applyAlignment="1">
      <alignment vertical="center" wrapText="1"/>
    </xf>
    <xf numFmtId="0" fontId="30" fillId="0" borderId="0" xfId="6" applyAlignment="1">
      <alignment horizontal="center" vertical="center" wrapText="1"/>
    </xf>
    <xf numFmtId="0" fontId="63" fillId="0" borderId="19" xfId="6" applyFont="1" applyBorder="1" applyAlignment="1">
      <alignment horizontal="center" vertical="center" wrapText="1"/>
    </xf>
    <xf numFmtId="0" fontId="63" fillId="0" borderId="11" xfId="6" applyFont="1" applyBorder="1" applyAlignment="1">
      <alignment horizontal="center" vertical="center" wrapText="1"/>
    </xf>
    <xf numFmtId="0" fontId="63" fillId="0" borderId="28" xfId="6" applyFont="1" applyBorder="1" applyAlignment="1">
      <alignment horizontal="center" vertical="center" wrapText="1"/>
    </xf>
    <xf numFmtId="0" fontId="63" fillId="0" borderId="10" xfId="6" applyFont="1" applyBorder="1" applyAlignment="1">
      <alignment vertical="center" wrapText="1"/>
    </xf>
    <xf numFmtId="0" fontId="68" fillId="0" borderId="10" xfId="0" applyFont="1" applyBorder="1" applyAlignment="1">
      <alignment horizontal="center" vertical="center" wrapText="1" readingOrder="1"/>
    </xf>
    <xf numFmtId="0" fontId="68" fillId="0" borderId="15" xfId="0" applyFont="1" applyBorder="1" applyAlignment="1">
      <alignment horizontal="center" vertical="center" wrapText="1" readingOrder="1"/>
    </xf>
    <xf numFmtId="0" fontId="30" fillId="0" borderId="10" xfId="6"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70" fillId="0" borderId="0" xfId="7" applyFont="1"/>
    <xf numFmtId="0" fontId="30" fillId="0" borderId="14" xfId="6" applyBorder="1" applyAlignment="1">
      <alignment horizontal="center" vertical="center" wrapText="1"/>
    </xf>
    <xf numFmtId="0" fontId="30" fillId="0" borderId="10" xfId="6" applyBorder="1" applyAlignment="1">
      <alignment horizontal="justify" vertical="center" wrapText="1"/>
    </xf>
    <xf numFmtId="9" fontId="56" fillId="0" borderId="11" xfId="0" applyNumberFormat="1" applyFont="1" applyBorder="1" applyAlignment="1">
      <alignment horizontal="center" vertical="center" wrapText="1"/>
    </xf>
    <xf numFmtId="0" fontId="30" fillId="0" borderId="0" xfId="6" applyAlignment="1">
      <alignment horizontal="justify" vertical="center" wrapText="1"/>
    </xf>
    <xf numFmtId="0" fontId="71" fillId="22" borderId="10" xfId="0" applyFont="1" applyFill="1" applyBorder="1" applyAlignment="1">
      <alignment horizontal="center" vertical="center" wrapText="1" readingOrder="1"/>
    </xf>
    <xf numFmtId="0" fontId="30" fillId="9" borderId="15" xfId="0" applyFont="1" applyFill="1" applyBorder="1" applyAlignment="1">
      <alignment horizontal="center" vertical="center" wrapText="1" readingOrder="1"/>
    </xf>
    <xf numFmtId="9" fontId="30" fillId="0" borderId="14" xfId="6" applyNumberFormat="1" applyBorder="1" applyAlignment="1">
      <alignment horizontal="center" vertical="center" wrapText="1"/>
    </xf>
    <xf numFmtId="0" fontId="70" fillId="0" borderId="0" xfId="7" applyFont="1" applyAlignment="1">
      <alignment horizontal="center" vertical="center"/>
    </xf>
    <xf numFmtId="0" fontId="71" fillId="4" borderId="10" xfId="0" applyFont="1" applyFill="1" applyBorder="1" applyAlignment="1">
      <alignment horizontal="center" vertical="center" wrapText="1" readingOrder="1"/>
    </xf>
    <xf numFmtId="0" fontId="72" fillId="0" borderId="0" xfId="7" applyFont="1" applyAlignment="1">
      <alignment vertical="center" textRotation="90" wrapText="1"/>
    </xf>
    <xf numFmtId="0" fontId="73" fillId="0" borderId="0" xfId="7" applyFont="1" applyAlignment="1">
      <alignment horizontal="center" vertical="center" wrapText="1"/>
    </xf>
    <xf numFmtId="0" fontId="70" fillId="0" borderId="0" xfId="7" applyFont="1" applyAlignment="1">
      <alignment horizontal="center" vertical="center" wrapText="1"/>
    </xf>
    <xf numFmtId="0" fontId="71" fillId="5" borderId="10" xfId="0" applyFont="1" applyFill="1" applyBorder="1" applyAlignment="1">
      <alignment horizontal="center" vertical="center" wrapText="1" readingOrder="1"/>
    </xf>
    <xf numFmtId="0" fontId="68" fillId="0" borderId="17" xfId="0" applyFont="1" applyBorder="1" applyAlignment="1">
      <alignment horizontal="center" vertical="center" wrapText="1" readingOrder="1"/>
    </xf>
    <xf numFmtId="0" fontId="71" fillId="5" borderId="17" xfId="0" applyFont="1" applyFill="1" applyBorder="1" applyAlignment="1">
      <alignment horizontal="center" vertical="center" wrapText="1" readingOrder="1"/>
    </xf>
    <xf numFmtId="0" fontId="71" fillId="4" borderId="17" xfId="0" applyFont="1" applyFill="1" applyBorder="1" applyAlignment="1">
      <alignment horizontal="center" vertical="center" wrapText="1" readingOrder="1"/>
    </xf>
    <xf numFmtId="0" fontId="71" fillId="22" borderId="17" xfId="0" applyFont="1" applyFill="1" applyBorder="1" applyAlignment="1">
      <alignment horizontal="center" vertical="center" wrapText="1" readingOrder="1"/>
    </xf>
    <xf numFmtId="0" fontId="30" fillId="9" borderId="18" xfId="0" applyFont="1" applyFill="1" applyBorder="1" applyAlignment="1">
      <alignment horizontal="center" vertical="center" wrapText="1" readingOrder="1"/>
    </xf>
    <xf numFmtId="9" fontId="30" fillId="0" borderId="16" xfId="6" applyNumberFormat="1" applyBorder="1" applyAlignment="1">
      <alignment horizontal="center" vertical="center" wrapText="1"/>
    </xf>
    <xf numFmtId="0" fontId="30" fillId="0" borderId="17" xfId="0" applyFont="1" applyBorder="1" applyAlignment="1">
      <alignment horizontal="center" vertical="center" wrapText="1" readingOrder="1"/>
    </xf>
    <xf numFmtId="0" fontId="70" fillId="0" borderId="0" xfId="7" applyFont="1" applyAlignment="1">
      <alignment vertical="center"/>
    </xf>
    <xf numFmtId="0" fontId="30" fillId="9" borderId="10" xfId="0" applyFont="1" applyFill="1" applyBorder="1" applyAlignment="1">
      <alignment horizontal="center" vertical="center" wrapText="1" readingOrder="1"/>
    </xf>
    <xf numFmtId="0" fontId="67" fillId="0" borderId="0" xfId="0" applyFont="1" applyAlignment="1">
      <alignment vertical="center" readingOrder="1"/>
    </xf>
    <xf numFmtId="0" fontId="74" fillId="0" borderId="0" xfId="7" applyFont="1"/>
    <xf numFmtId="0" fontId="30" fillId="0" borderId="0" xfId="0" applyFont="1" applyAlignment="1">
      <alignment vertical="center"/>
    </xf>
    <xf numFmtId="0" fontId="30" fillId="0" borderId="0" xfId="0" applyFont="1" applyAlignment="1">
      <alignment vertical="center" readingOrder="1"/>
    </xf>
    <xf numFmtId="0" fontId="30" fillId="0" borderId="0" xfId="7" applyFont="1" applyAlignment="1">
      <alignment vertical="center"/>
    </xf>
    <xf numFmtId="0" fontId="30" fillId="21" borderId="0" xfId="6" applyFill="1" applyAlignment="1">
      <alignment horizontal="left"/>
    </xf>
    <xf numFmtId="0" fontId="63" fillId="0" borderId="0" xfId="0" applyFont="1" applyAlignment="1">
      <alignment horizontal="center" vertical="center" wrapText="1"/>
    </xf>
    <xf numFmtId="0" fontId="63" fillId="0" borderId="0" xfId="0" applyFont="1" applyAlignment="1">
      <alignment horizontal="right" vertical="center" wrapText="1"/>
    </xf>
    <xf numFmtId="0" fontId="44" fillId="3" borderId="0" xfId="6" applyFont="1" applyFill="1" applyAlignment="1">
      <alignment vertical="center" wrapText="1"/>
    </xf>
    <xf numFmtId="0" fontId="63" fillId="0" borderId="0" xfId="6" applyFont="1" applyAlignment="1">
      <alignment horizontal="left" vertical="center"/>
    </xf>
    <xf numFmtId="0" fontId="63" fillId="0" borderId="0" xfId="6" applyFont="1" applyAlignment="1">
      <alignment vertical="center" wrapText="1"/>
    </xf>
    <xf numFmtId="9" fontId="30" fillId="0" borderId="11" xfId="6" applyNumberFormat="1" applyBorder="1" applyAlignment="1">
      <alignment horizontal="center" vertical="center" wrapText="1"/>
    </xf>
    <xf numFmtId="9" fontId="56" fillId="0" borderId="11" xfId="0" applyNumberFormat="1" applyFont="1" applyBorder="1" applyAlignment="1">
      <alignment horizontal="left" vertical="center" wrapText="1"/>
    </xf>
    <xf numFmtId="0" fontId="30" fillId="0" borderId="0" xfId="6" applyAlignment="1">
      <alignment horizontal="left" vertical="center" wrapText="1"/>
    </xf>
    <xf numFmtId="0" fontId="66" fillId="0" borderId="0" xfId="6" applyFont="1" applyAlignment="1">
      <alignment horizontal="left" vertical="center" wrapText="1"/>
    </xf>
    <xf numFmtId="9" fontId="30" fillId="0" borderId="0" xfId="6" applyNumberFormat="1" applyAlignment="1">
      <alignment horizontal="center" vertical="center" wrapText="1"/>
    </xf>
    <xf numFmtId="9" fontId="56" fillId="0" borderId="0" xfId="0" applyNumberFormat="1" applyFont="1" applyAlignment="1">
      <alignment horizontal="center" vertical="center" wrapText="1"/>
    </xf>
    <xf numFmtId="9" fontId="56" fillId="0" borderId="0" xfId="0" applyNumberFormat="1" applyFont="1" applyAlignment="1">
      <alignment horizontal="left" vertical="center" wrapText="1"/>
    </xf>
    <xf numFmtId="0" fontId="76" fillId="0" borderId="0" xfId="6" applyFont="1" applyAlignment="1">
      <alignment horizontal="center" vertical="center"/>
    </xf>
    <xf numFmtId="0" fontId="76" fillId="0" borderId="0" xfId="6" applyFont="1" applyAlignment="1">
      <alignment vertical="center"/>
    </xf>
    <xf numFmtId="0" fontId="78" fillId="3" borderId="0" xfId="6" applyFont="1" applyFill="1" applyAlignment="1">
      <alignment vertical="center" wrapText="1"/>
    </xf>
    <xf numFmtId="0" fontId="77" fillId="3" borderId="0" xfId="6" applyFont="1" applyFill="1" applyAlignment="1">
      <alignment vertical="center" wrapText="1"/>
    </xf>
    <xf numFmtId="0" fontId="78" fillId="0" borderId="0" xfId="6" applyFont="1" applyAlignment="1">
      <alignment vertical="center" wrapText="1"/>
    </xf>
    <xf numFmtId="0" fontId="77" fillId="0" borderId="29" xfId="6" applyFont="1" applyBorder="1" applyAlignment="1">
      <alignment vertical="center" wrapText="1"/>
    </xf>
    <xf numFmtId="0" fontId="44" fillId="3" borderId="29" xfId="6" applyFont="1" applyFill="1" applyBorder="1" applyAlignment="1">
      <alignment horizontal="left" vertical="center" wrapText="1"/>
    </xf>
    <xf numFmtId="0" fontId="77" fillId="0" borderId="10" xfId="6" applyFont="1" applyBorder="1" applyAlignment="1">
      <alignment vertical="center" wrapText="1"/>
    </xf>
    <xf numFmtId="0" fontId="0" fillId="3" borderId="0" xfId="0" applyFill="1" applyAlignment="1">
      <alignment vertical="top" wrapText="1"/>
    </xf>
    <xf numFmtId="0" fontId="62" fillId="0" borderId="10" xfId="0" applyFont="1" applyBorder="1"/>
    <xf numFmtId="0" fontId="62"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62" fillId="0" borderId="10" xfId="0" applyFont="1" applyBorder="1" applyAlignment="1">
      <alignment horizontal="center" vertical="center"/>
    </xf>
    <xf numFmtId="0" fontId="15" fillId="0" borderId="10" xfId="0" applyFont="1" applyBorder="1" applyAlignment="1">
      <alignment horizontal="center" vertical="center"/>
    </xf>
    <xf numFmtId="0" fontId="80" fillId="0" borderId="10" xfId="0" applyFont="1" applyBorder="1" applyAlignment="1">
      <alignment horizontal="center" vertical="center"/>
    </xf>
    <xf numFmtId="0" fontId="81" fillId="0" borderId="10" xfId="0" applyFont="1" applyBorder="1" applyAlignment="1">
      <alignment horizontal="center"/>
    </xf>
    <xf numFmtId="0" fontId="62" fillId="0" borderId="0" xfId="0" applyFont="1" applyAlignment="1">
      <alignment horizontal="center" vertical="center"/>
    </xf>
    <xf numFmtId="0" fontId="0" fillId="0" borderId="0" xfId="0" applyAlignment="1">
      <alignment horizontal="center"/>
    </xf>
    <xf numFmtId="0" fontId="1" fillId="0" borderId="27" xfId="0" applyFont="1" applyBorder="1" applyAlignment="1" applyProtection="1">
      <alignment horizontal="center" vertical="center" wrapText="1"/>
      <protection hidden="1"/>
    </xf>
    <xf numFmtId="0" fontId="43" fillId="0" borderId="38" xfId="4" applyFont="1" applyBorder="1" applyAlignment="1">
      <alignment horizontal="center" vertical="center" wrapText="1"/>
    </xf>
    <xf numFmtId="0" fontId="44" fillId="0" borderId="39" xfId="4" applyFont="1" applyBorder="1" applyAlignment="1">
      <alignment wrapText="1"/>
    </xf>
    <xf numFmtId="0" fontId="44" fillId="0" borderId="40" xfId="4" applyFont="1" applyBorder="1" applyAlignment="1">
      <alignment wrapText="1"/>
    </xf>
    <xf numFmtId="0" fontId="43" fillId="0" borderId="38" xfId="4" applyFont="1" applyBorder="1" applyAlignment="1">
      <alignment horizontal="center" vertical="center"/>
    </xf>
    <xf numFmtId="0" fontId="44" fillId="0" borderId="39" xfId="4" applyFont="1" applyBorder="1"/>
    <xf numFmtId="0" fontId="44" fillId="0" borderId="40" xfId="4" applyFont="1" applyBorder="1"/>
    <xf numFmtId="0" fontId="43" fillId="16" borderId="38" xfId="4" applyFont="1" applyFill="1" applyBorder="1" applyAlignment="1">
      <alignment horizontal="center" vertical="center"/>
    </xf>
    <xf numFmtId="0" fontId="43" fillId="16" borderId="38" xfId="4" applyFont="1" applyFill="1" applyBorder="1" applyAlignment="1">
      <alignment horizontal="center" vertical="center" wrapText="1"/>
    </xf>
    <xf numFmtId="0" fontId="39" fillId="13" borderId="0" xfId="0" applyFont="1" applyFill="1" applyAlignment="1">
      <alignment horizontal="center" vertical="center"/>
    </xf>
    <xf numFmtId="0" fontId="38" fillId="12" borderId="10" xfId="0" applyFont="1" applyFill="1" applyBorder="1" applyAlignment="1">
      <alignment horizontal="left" vertical="center"/>
    </xf>
    <xf numFmtId="0" fontId="38" fillId="3" borderId="10" xfId="0" applyFont="1" applyFill="1" applyBorder="1" applyAlignment="1">
      <alignment horizontal="center" vertical="center"/>
    </xf>
    <xf numFmtId="0" fontId="38" fillId="12" borderId="11" xfId="0" applyFont="1" applyFill="1" applyBorder="1" applyAlignment="1">
      <alignment horizontal="left" vertical="center"/>
    </xf>
    <xf numFmtId="0" fontId="38" fillId="3" borderId="10" xfId="0" applyFont="1" applyFill="1" applyBorder="1" applyAlignment="1">
      <alignment horizontal="center" vertical="center" wrapText="1"/>
    </xf>
    <xf numFmtId="0" fontId="37" fillId="0" borderId="36" xfId="0" applyFont="1" applyBorder="1" applyAlignment="1">
      <alignment horizontal="center" vertical="center"/>
    </xf>
    <xf numFmtId="0" fontId="37" fillId="0" borderId="32" xfId="0" applyFont="1" applyBorder="1" applyAlignment="1">
      <alignment horizontal="center" vertical="center"/>
    </xf>
    <xf numFmtId="0" fontId="37"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2" fillId="13" borderId="10" xfId="0" applyFont="1" applyFill="1" applyBorder="1" applyAlignment="1">
      <alignment horizontal="center" vertical="center" wrapText="1"/>
    </xf>
    <xf numFmtId="0" fontId="42" fillId="13" borderId="10" xfId="0" applyFont="1" applyFill="1" applyBorder="1" applyAlignment="1">
      <alignment horizontal="center" vertical="center"/>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0" fontId="1" fillId="0" borderId="11" xfId="0" applyFont="1" applyBorder="1" applyAlignment="1" applyProtection="1">
      <alignment horizontal="center" vertical="center" wrapText="1"/>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 fillId="0" borderId="11" xfId="0" applyFont="1" applyBorder="1" applyAlignment="1" applyProtection="1">
      <alignment horizontal="center" vertical="center" textRotation="90" wrapText="1"/>
      <protection hidden="1"/>
    </xf>
    <xf numFmtId="9" fontId="1" fillId="0" borderId="11" xfId="0" applyNumberFormat="1" applyFont="1" applyBorder="1" applyAlignment="1" applyProtection="1">
      <alignment horizontal="center" vertical="center" wrapText="1"/>
      <protection hidden="1"/>
    </xf>
    <xf numFmtId="0" fontId="4" fillId="0" borderId="11" xfId="0" applyFont="1" applyBorder="1" applyAlignment="1" applyProtection="1">
      <alignment horizontal="center" vertical="center" textRotation="90"/>
      <protection hidden="1"/>
    </xf>
    <xf numFmtId="164" fontId="1" fillId="0" borderId="11" xfId="1" applyNumberFormat="1" applyFont="1" applyBorder="1" applyAlignment="1" applyProtection="1">
      <alignment horizontal="center" vertical="center"/>
      <protection hidden="1"/>
    </xf>
    <xf numFmtId="0" fontId="1" fillId="0" borderId="10" xfId="0" applyFont="1" applyBorder="1" applyAlignment="1" applyProtection="1">
      <alignment horizontal="left" vertical="center" wrapText="1"/>
      <protection hidden="1"/>
    </xf>
    <xf numFmtId="0" fontId="1" fillId="0" borderId="10" xfId="0" applyFont="1" applyBorder="1" applyAlignment="1" applyProtection="1">
      <alignment horizontal="left" vertical="center"/>
      <protection hidden="1"/>
    </xf>
    <xf numFmtId="0" fontId="1" fillId="3" borderId="10"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protection locked="0"/>
    </xf>
    <xf numFmtId="0" fontId="82" fillId="3" borderId="10" xfId="8" applyFill="1" applyBorder="1" applyAlignment="1" applyProtection="1">
      <alignment horizontal="left" vertical="top" wrapText="1"/>
      <protection locked="0"/>
    </xf>
    <xf numFmtId="0" fontId="2" fillId="3" borderId="10"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 fillId="0" borderId="11" xfId="0" applyFont="1" applyBorder="1" applyAlignment="1" applyProtection="1">
      <alignment horizontal="center" vertical="center" textRotation="90"/>
      <protection hidden="1"/>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1" fillId="0" borderId="36" xfId="0" applyFont="1" applyBorder="1" applyAlignment="1" applyProtection="1">
      <alignment horizontal="center" vertical="center" textRotation="90"/>
      <protection hidden="1"/>
    </xf>
    <xf numFmtId="0" fontId="1" fillId="0" borderId="32" xfId="0" applyFont="1" applyBorder="1" applyAlignment="1" applyProtection="1">
      <alignment horizontal="center" vertical="center" textRotation="90"/>
      <protection hidden="1"/>
    </xf>
    <xf numFmtId="0" fontId="35" fillId="3" borderId="27" xfId="0" applyFont="1" applyFill="1" applyBorder="1" applyAlignment="1" applyProtection="1">
      <alignment horizontal="center" vertical="center" wrapText="1"/>
      <protection hidden="1"/>
    </xf>
    <xf numFmtId="0" fontId="35" fillId="3" borderId="31" xfId="0" applyFont="1" applyFill="1" applyBorder="1" applyAlignment="1" applyProtection="1">
      <alignment horizontal="center" vertical="center" wrapText="1"/>
      <protection hidden="1"/>
    </xf>
    <xf numFmtId="0" fontId="2" fillId="3" borderId="27" xfId="0" applyFont="1" applyFill="1" applyBorder="1" applyAlignment="1" applyProtection="1">
      <alignment horizontal="center" vertical="center" wrapText="1"/>
      <protection hidden="1"/>
    </xf>
    <xf numFmtId="0" fontId="2" fillId="3" borderId="31" xfId="0" applyFont="1" applyFill="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2" fillId="3" borderId="10" xfId="0" applyFont="1" applyFill="1" applyBorder="1" applyAlignment="1" applyProtection="1">
      <alignment horizontal="left" vertical="top" wrapText="1"/>
      <protection locked="0"/>
    </xf>
    <xf numFmtId="0" fontId="1" fillId="3" borderId="10" xfId="0" applyFont="1" applyFill="1" applyBorder="1" applyAlignment="1" applyProtection="1">
      <alignment horizontal="center" vertical="center" wrapText="1"/>
      <protection hidden="1"/>
    </xf>
    <xf numFmtId="9" fontId="1" fillId="0" borderId="10"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2" fillId="0" borderId="10" xfId="0" applyFont="1" applyBorder="1" applyAlignment="1" applyProtection="1">
      <alignment horizontal="center" vertical="center" wrapText="1"/>
      <protection hidden="1"/>
    </xf>
    <xf numFmtId="0" fontId="35" fillId="0" borderId="27" xfId="0" applyFont="1" applyBorder="1" applyAlignment="1" applyProtection="1">
      <alignment horizontal="center" vertical="center" wrapText="1"/>
      <protection hidden="1"/>
    </xf>
    <xf numFmtId="0" fontId="35" fillId="0" borderId="11" xfId="0" applyFont="1" applyBorder="1" applyAlignment="1" applyProtection="1">
      <alignment horizontal="center" vertical="center" wrapText="1"/>
      <protection hidden="1"/>
    </xf>
    <xf numFmtId="0" fontId="1" fillId="0" borderId="37" xfId="0" applyFont="1" applyBorder="1" applyAlignment="1" applyProtection="1">
      <alignment horizontal="center" vertical="center" textRotation="90"/>
      <protection hidden="1"/>
    </xf>
    <xf numFmtId="0" fontId="35" fillId="0" borderId="31" xfId="0" applyFont="1" applyBorder="1" applyAlignment="1" applyProtection="1">
      <alignment horizontal="center" vertical="center" wrapText="1"/>
      <protection hidden="1"/>
    </xf>
    <xf numFmtId="0" fontId="1" fillId="0" borderId="34"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wrapText="1"/>
      <protection hidden="1"/>
    </xf>
    <xf numFmtId="0" fontId="50" fillId="11"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left" vertical="top" wrapText="1"/>
      <protection hidden="1"/>
    </xf>
    <xf numFmtId="0" fontId="1" fillId="0" borderId="10" xfId="0" applyFont="1" applyBorder="1" applyAlignment="1" applyProtection="1">
      <alignment horizontal="left" vertical="top"/>
      <protection hidden="1"/>
    </xf>
    <xf numFmtId="0" fontId="35" fillId="3" borderId="10" xfId="0" applyFont="1" applyFill="1" applyBorder="1" applyAlignment="1" applyProtection="1">
      <alignment horizontal="center" vertical="center" wrapText="1"/>
      <protection hidden="1"/>
    </xf>
    <xf numFmtId="0" fontId="50" fillId="0" borderId="10" xfId="0" applyFont="1" applyBorder="1" applyAlignment="1" applyProtection="1">
      <alignment horizontal="center" vertical="center" wrapText="1"/>
      <protection hidden="1"/>
    </xf>
    <xf numFmtId="0" fontId="35" fillId="3" borderId="11" xfId="0" applyFont="1" applyFill="1" applyBorder="1" applyAlignment="1" applyProtection="1">
      <alignment horizontal="center" vertical="center" wrapText="1"/>
      <protection hidden="1"/>
    </xf>
    <xf numFmtId="0" fontId="1" fillId="10" borderId="10" xfId="0" applyFont="1" applyFill="1" applyBorder="1" applyAlignment="1" applyProtection="1">
      <alignment horizontal="center" vertical="center"/>
      <protection hidden="1"/>
    </xf>
    <xf numFmtId="0" fontId="1" fillId="3" borderId="10" xfId="0" applyFont="1" applyFill="1" applyBorder="1" applyAlignment="1" applyProtection="1">
      <alignment horizontal="left" vertical="top" wrapText="1"/>
      <protection hidden="1"/>
    </xf>
    <xf numFmtId="0" fontId="1" fillId="3" borderId="10" xfId="0" applyFont="1" applyFill="1" applyBorder="1" applyAlignment="1" applyProtection="1">
      <alignment horizontal="left" vertical="top"/>
      <protection hidden="1"/>
    </xf>
    <xf numFmtId="0" fontId="1" fillId="3" borderId="27" xfId="0" applyFont="1" applyFill="1" applyBorder="1" applyAlignment="1" applyProtection="1">
      <alignment horizontal="center" vertical="center" wrapText="1"/>
      <protection hidden="1"/>
    </xf>
    <xf numFmtId="0" fontId="1" fillId="3" borderId="31" xfId="0" applyFont="1" applyFill="1" applyBorder="1" applyAlignment="1" applyProtection="1">
      <alignment horizontal="center" vertical="center" wrapText="1"/>
      <protection hidden="1"/>
    </xf>
    <xf numFmtId="0" fontId="1" fillId="3" borderId="11" xfId="0"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4" fillId="10" borderId="27"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4" fillId="10" borderId="27" xfId="0" applyFont="1" applyFill="1" applyBorder="1" applyAlignment="1" applyProtection="1">
      <alignment horizontal="center" vertical="center" textRotation="90" wrapText="1"/>
      <protection hidden="1"/>
    </xf>
    <xf numFmtId="0" fontId="4" fillId="10" borderId="11" xfId="0" applyFont="1" applyFill="1" applyBorder="1" applyAlignment="1" applyProtection="1">
      <alignment horizontal="center" vertical="center" textRotation="90" wrapText="1"/>
      <protection hidden="1"/>
    </xf>
    <xf numFmtId="0" fontId="4" fillId="10" borderId="29" xfId="0" applyFont="1" applyFill="1" applyBorder="1" applyAlignment="1" applyProtection="1">
      <alignment horizontal="center"/>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4" fillId="15" borderId="10" xfId="0" applyFont="1" applyFill="1" applyBorder="1" applyAlignment="1" applyProtection="1">
      <alignment horizontal="center" vertical="center"/>
      <protection hidden="1"/>
    </xf>
    <xf numFmtId="0" fontId="4" fillId="10" borderId="28"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vertical="center" wrapText="1"/>
      <protection hidden="1"/>
    </xf>
    <xf numFmtId="0" fontId="4" fillId="10" borderId="30"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wrapText="1"/>
      <protection hidden="1"/>
    </xf>
    <xf numFmtId="0" fontId="4" fillId="10" borderId="29" xfId="0" applyFont="1" applyFill="1" applyBorder="1" applyAlignment="1" applyProtection="1">
      <alignment horizontal="center" vertical="center"/>
      <protection hidden="1"/>
    </xf>
    <xf numFmtId="0" fontId="36" fillId="14" borderId="28" xfId="0" applyFont="1" applyFill="1" applyBorder="1" applyAlignment="1" applyProtection="1">
      <alignment horizontal="center" vertical="center"/>
      <protection hidden="1"/>
    </xf>
    <xf numFmtId="0" fontId="36" fillId="14" borderId="30" xfId="0" applyFont="1" applyFill="1" applyBorder="1" applyAlignment="1" applyProtection="1">
      <alignment horizontal="center" vertical="center"/>
      <protection hidden="1"/>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0" fontId="4" fillId="15" borderId="27" xfId="0" applyFont="1" applyFill="1" applyBorder="1" applyAlignment="1" applyProtection="1">
      <alignment horizontal="center" vertical="center" textRotation="90" wrapText="1"/>
      <protection hidden="1"/>
    </xf>
    <xf numFmtId="0" fontId="4" fillId="15" borderId="11" xfId="0" applyFont="1" applyFill="1" applyBorder="1" applyAlignment="1" applyProtection="1">
      <alignment horizontal="center" vertical="center" textRotation="90" wrapText="1"/>
      <protection hidden="1"/>
    </xf>
    <xf numFmtId="0" fontId="1" fillId="0" borderId="10" xfId="0" applyFont="1" applyBorder="1" applyAlignment="1" applyProtection="1">
      <alignment horizontal="center"/>
      <protection hidden="1"/>
    </xf>
    <xf numFmtId="0" fontId="41" fillId="0" borderId="36"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7"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wrapText="1"/>
      <protection hidden="1"/>
    </xf>
    <xf numFmtId="0" fontId="41" fillId="10" borderId="25" xfId="0" applyFont="1" applyFill="1" applyBorder="1" applyAlignment="1" applyProtection="1">
      <alignment horizontal="center" vertical="center"/>
      <protection hidden="1"/>
    </xf>
    <xf numFmtId="0" fontId="41" fillId="10" borderId="33" xfId="0" applyFont="1" applyFill="1" applyBorder="1" applyAlignment="1" applyProtection="1">
      <alignment horizontal="center" vertical="center"/>
      <protection hidden="1"/>
    </xf>
    <xf numFmtId="0" fontId="41" fillId="10" borderId="26" xfId="0" applyFont="1" applyFill="1" applyBorder="1" applyAlignment="1" applyProtection="1">
      <alignment horizontal="center" vertical="center"/>
      <protection hidden="1"/>
    </xf>
    <xf numFmtId="0" fontId="41" fillId="10" borderId="35" xfId="0" applyFont="1" applyFill="1" applyBorder="1" applyAlignment="1" applyProtection="1">
      <alignment horizontal="center" vertical="center"/>
      <protection hidden="1"/>
    </xf>
    <xf numFmtId="0" fontId="41" fillId="10" borderId="28" xfId="0" applyFont="1" applyFill="1" applyBorder="1" applyAlignment="1" applyProtection="1">
      <alignment horizontal="center" vertical="center"/>
      <protection hidden="1"/>
    </xf>
    <xf numFmtId="0" fontId="41" fillId="10" borderId="29" xfId="0" applyFont="1" applyFill="1" applyBorder="1" applyAlignment="1" applyProtection="1">
      <alignment horizontal="center" vertical="center"/>
      <protection hidden="1"/>
    </xf>
    <xf numFmtId="0" fontId="41" fillId="10" borderId="30" xfId="0" applyFont="1" applyFill="1" applyBorder="1" applyAlignment="1" applyProtection="1">
      <alignment horizontal="center" vertical="center"/>
      <protection hidden="1"/>
    </xf>
    <xf numFmtId="0" fontId="21" fillId="0" borderId="28" xfId="0"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40" fillId="10" borderId="1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36" fillId="14" borderId="29" xfId="0" applyFont="1" applyFill="1" applyBorder="1" applyAlignment="1" applyProtection="1">
      <alignment horizontal="center" vertical="center"/>
      <protection hidden="1"/>
    </xf>
    <xf numFmtId="0" fontId="4" fillId="10" borderId="31" xfId="0" applyFont="1" applyFill="1" applyBorder="1" applyAlignment="1" applyProtection="1">
      <alignment horizontal="center" vertical="center"/>
      <protection hidden="1"/>
    </xf>
    <xf numFmtId="0" fontId="4" fillId="10" borderId="11" xfId="0" applyFont="1" applyFill="1" applyBorder="1" applyAlignment="1" applyProtection="1">
      <alignment horizontal="center" vertical="center"/>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2" fillId="3" borderId="10" xfId="0" applyFont="1" applyFill="1" applyBorder="1" applyAlignment="1" applyProtection="1">
      <alignment horizontal="center" vertical="center" wrapText="1"/>
      <protection hidden="1"/>
    </xf>
    <xf numFmtId="0" fontId="2" fillId="3" borderId="36" xfId="0" applyFont="1" applyFill="1" applyBorder="1" applyAlignment="1" applyProtection="1">
      <alignment horizontal="left" vertical="top" wrapText="1"/>
      <protection locked="0"/>
    </xf>
    <xf numFmtId="0" fontId="2" fillId="3" borderId="32" xfId="0" applyFont="1" applyFill="1" applyBorder="1" applyAlignment="1" applyProtection="1">
      <alignment horizontal="left" vertical="top"/>
      <protection locked="0"/>
    </xf>
    <xf numFmtId="0" fontId="2" fillId="3" borderId="37" xfId="0" applyFont="1" applyFill="1" applyBorder="1" applyAlignment="1" applyProtection="1">
      <alignment horizontal="left" vertical="top"/>
      <protection locked="0"/>
    </xf>
    <xf numFmtId="0" fontId="1" fillId="3" borderId="36" xfId="0" applyFont="1" applyFill="1" applyBorder="1" applyAlignment="1" applyProtection="1">
      <alignment horizontal="left" vertical="top" wrapText="1"/>
      <protection locked="0"/>
    </xf>
    <xf numFmtId="0" fontId="1" fillId="3" borderId="32" xfId="0" applyFont="1" applyFill="1" applyBorder="1" applyAlignment="1" applyProtection="1">
      <alignment horizontal="left" vertical="top"/>
      <protection locked="0"/>
    </xf>
    <xf numFmtId="0" fontId="1" fillId="3" borderId="37" xfId="0" applyFont="1" applyFill="1" applyBorder="1" applyAlignment="1" applyProtection="1">
      <alignment horizontal="left" vertical="top"/>
      <protection locked="0"/>
    </xf>
    <xf numFmtId="0" fontId="4" fillId="10" borderId="27" xfId="0" applyFont="1" applyFill="1" applyBorder="1" applyAlignment="1" applyProtection="1">
      <alignment horizontal="center" vertical="center" wrapText="1"/>
      <protection locked="0"/>
    </xf>
    <xf numFmtId="0" fontId="4" fillId="10" borderId="31" xfId="0" applyFont="1" applyFill="1" applyBorder="1" applyAlignment="1" applyProtection="1">
      <alignment horizontal="center" vertical="center" wrapText="1"/>
      <protection locked="0"/>
    </xf>
    <xf numFmtId="0" fontId="4" fillId="10" borderId="11"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top" wrapText="1"/>
      <protection locked="0"/>
    </xf>
    <xf numFmtId="0" fontId="1" fillId="0" borderId="10" xfId="0" applyFont="1" applyBorder="1" applyAlignment="1" applyProtection="1">
      <alignment horizontal="left" vertical="top"/>
      <protection locked="0"/>
    </xf>
    <xf numFmtId="0" fontId="59" fillId="0" borderId="10" xfId="0" applyFont="1" applyBorder="1" applyAlignment="1" applyProtection="1">
      <alignment horizontal="left" vertical="top" wrapText="1"/>
      <protection locked="0"/>
    </xf>
    <xf numFmtId="0" fontId="1" fillId="3" borderId="27" xfId="0" applyFont="1" applyFill="1" applyBorder="1" applyAlignment="1" applyProtection="1">
      <alignment horizontal="left" vertical="top"/>
      <protection locked="0"/>
    </xf>
    <xf numFmtId="0" fontId="1" fillId="3" borderId="10" xfId="0" applyFont="1" applyFill="1" applyBorder="1" applyAlignment="1" applyProtection="1">
      <alignment horizontal="center" vertical="top"/>
      <protection locked="0"/>
    </xf>
    <xf numFmtId="0" fontId="59" fillId="3" borderId="10" xfId="0" applyFont="1" applyFill="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4" fillId="3" borderId="10" xfId="0" applyFont="1" applyFill="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63" fillId="0" borderId="14" xfId="6" applyFont="1" applyBorder="1" applyAlignment="1">
      <alignment horizontal="center" vertical="center" textRotation="90" wrapText="1"/>
    </xf>
    <xf numFmtId="0" fontId="63" fillId="0" borderId="16" xfId="6" applyFont="1" applyBorder="1" applyAlignment="1">
      <alignment horizontal="center" vertical="center" textRotation="90" wrapText="1"/>
    </xf>
    <xf numFmtId="0" fontId="63" fillId="0" borderId="47" xfId="6" applyFont="1" applyBorder="1" applyAlignment="1">
      <alignment horizontal="center" vertical="center" textRotation="90" wrapText="1"/>
    </xf>
    <xf numFmtId="0" fontId="63" fillId="0" borderId="48" xfId="6" applyFont="1" applyBorder="1" applyAlignment="1">
      <alignment horizontal="center" vertical="center" textRotation="90" wrapText="1"/>
    </xf>
    <xf numFmtId="0" fontId="63" fillId="0" borderId="10" xfId="6" applyFont="1" applyBorder="1" applyAlignment="1">
      <alignment horizontal="center" vertical="center"/>
    </xf>
    <xf numFmtId="0" fontId="44" fillId="3" borderId="10" xfId="6" applyFont="1" applyFill="1" applyBorder="1" applyAlignment="1">
      <alignment horizontal="left" vertical="center" wrapText="1"/>
    </xf>
    <xf numFmtId="0" fontId="63" fillId="21" borderId="12" xfId="6" applyFont="1" applyFill="1" applyBorder="1" applyAlignment="1">
      <alignment horizontal="center"/>
    </xf>
    <xf numFmtId="0" fontId="63" fillId="21" borderId="13" xfId="6" applyFont="1" applyFill="1" applyBorder="1" applyAlignment="1">
      <alignment horizontal="center"/>
    </xf>
    <xf numFmtId="0" fontId="63" fillId="21" borderId="24" xfId="6" applyFont="1" applyFill="1" applyBorder="1" applyAlignment="1">
      <alignment horizontal="center"/>
    </xf>
    <xf numFmtId="0" fontId="63" fillId="0" borderId="45" xfId="6" applyFont="1" applyBorder="1" applyAlignment="1">
      <alignment horizontal="center" vertical="center" wrapText="1"/>
    </xf>
    <xf numFmtId="0" fontId="63" fillId="0" borderId="46" xfId="6" applyFont="1" applyBorder="1" applyAlignment="1">
      <alignment horizontal="center" vertical="center" wrapText="1"/>
    </xf>
    <xf numFmtId="0" fontId="63" fillId="0" borderId="10" xfId="6" applyFont="1" applyBorder="1" applyAlignment="1">
      <alignment horizontal="center" vertical="center" wrapText="1"/>
    </xf>
    <xf numFmtId="0" fontId="63" fillId="0" borderId="50" xfId="6" applyFont="1" applyBorder="1" applyAlignment="1">
      <alignment horizontal="center" vertical="center" textRotation="90" wrapText="1"/>
    </xf>
    <xf numFmtId="0" fontId="63" fillId="0" borderId="51" xfId="6" applyFont="1" applyBorder="1" applyAlignment="1">
      <alignment horizontal="center" vertical="center" textRotation="90" wrapText="1"/>
    </xf>
    <xf numFmtId="0" fontId="63" fillId="0" borderId="20" xfId="6" applyFont="1" applyBorder="1" applyAlignment="1">
      <alignment horizontal="center" vertical="center" textRotation="90" wrapText="1"/>
    </xf>
    <xf numFmtId="0" fontId="75" fillId="3" borderId="0" xfId="6" applyFont="1" applyFill="1" applyAlignment="1">
      <alignment horizontal="center"/>
    </xf>
    <xf numFmtId="0" fontId="63" fillId="0" borderId="49" xfId="6" applyFont="1" applyBorder="1" applyAlignment="1">
      <alignment horizontal="center" vertical="center" wrapText="1"/>
    </xf>
    <xf numFmtId="0" fontId="63" fillId="0" borderId="43" xfId="6" applyFont="1" applyBorder="1" applyAlignment="1">
      <alignment horizontal="center" vertical="center" wrapText="1"/>
    </xf>
    <xf numFmtId="0" fontId="63" fillId="0" borderId="44" xfId="6" applyFont="1" applyBorder="1" applyAlignment="1">
      <alignment horizontal="center" vertical="center" wrapText="1"/>
    </xf>
    <xf numFmtId="0" fontId="63" fillId="0" borderId="28" xfId="6" applyFont="1" applyBorder="1" applyAlignment="1">
      <alignment horizontal="center" vertical="center" textRotation="90" wrapText="1"/>
    </xf>
    <xf numFmtId="0" fontId="66" fillId="0" borderId="28" xfId="6" applyFont="1" applyBorder="1" applyAlignment="1">
      <alignment horizontal="center" vertical="center" wrapText="1"/>
    </xf>
    <xf numFmtId="0" fontId="66" fillId="0" borderId="29" xfId="6" applyFont="1" applyBorder="1" applyAlignment="1">
      <alignment horizontal="center" vertical="center" wrapText="1"/>
    </xf>
    <xf numFmtId="0" fontId="66" fillId="0" borderId="30" xfId="6" applyFont="1" applyBorder="1" applyAlignment="1">
      <alignment horizontal="center" vertical="center" wrapText="1"/>
    </xf>
    <xf numFmtId="0" fontId="44" fillId="3" borderId="11" xfId="6" applyFont="1" applyFill="1" applyBorder="1" applyAlignment="1">
      <alignment horizontal="left" vertical="center" wrapText="1"/>
    </xf>
    <xf numFmtId="0" fontId="63" fillId="21" borderId="2" xfId="6" applyFont="1" applyFill="1" applyBorder="1" applyAlignment="1">
      <alignment horizontal="center"/>
    </xf>
    <xf numFmtId="0" fontId="63" fillId="21" borderId="9" xfId="6" applyFont="1" applyFill="1" applyBorder="1" applyAlignment="1">
      <alignment horizontal="center"/>
    </xf>
    <xf numFmtId="0" fontId="63" fillId="21" borderId="3" xfId="6" applyFont="1" applyFill="1" applyBorder="1" applyAlignment="1">
      <alignment horizont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62" fillId="0" borderId="28" xfId="0" applyFont="1" applyBorder="1" applyAlignment="1">
      <alignment horizontal="center"/>
    </xf>
    <xf numFmtId="0" fontId="62" fillId="0" borderId="30" xfId="0" applyFont="1" applyBorder="1" applyAlignment="1">
      <alignment horizontal="center"/>
    </xf>
    <xf numFmtId="0" fontId="62" fillId="0" borderId="10" xfId="0" applyFont="1" applyBorder="1" applyAlignment="1">
      <alignment horizontal="center"/>
    </xf>
    <xf numFmtId="0" fontId="77" fillId="0" borderId="28" xfId="6" applyFont="1" applyBorder="1" applyAlignment="1">
      <alignment horizontal="center" vertical="center" wrapText="1"/>
    </xf>
    <xf numFmtId="0" fontId="77" fillId="0" borderId="29" xfId="6" applyFont="1" applyBorder="1" applyAlignment="1">
      <alignment horizontal="center" vertical="center" wrapText="1"/>
    </xf>
    <xf numFmtId="0" fontId="77" fillId="0" borderId="30" xfId="6" applyFont="1" applyBorder="1" applyAlignment="1">
      <alignment horizontal="center" vertical="center" wrapText="1"/>
    </xf>
    <xf numFmtId="0" fontId="79" fillId="3" borderId="12" xfId="0" applyFont="1" applyFill="1" applyBorder="1" applyAlignment="1">
      <alignment horizontal="center" vertical="center"/>
    </xf>
    <xf numFmtId="0" fontId="79" fillId="3" borderId="13" xfId="0" applyFont="1" applyFill="1" applyBorder="1" applyAlignment="1">
      <alignment horizontal="center" vertical="center"/>
    </xf>
    <xf numFmtId="0" fontId="79"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6" fillId="0" borderId="0" xfId="0" applyFont="1" applyAlignment="1">
      <alignment horizontal="center" vertical="center"/>
    </xf>
    <xf numFmtId="0" fontId="57" fillId="0" borderId="42" xfId="0" applyFont="1" applyBorder="1" applyAlignment="1">
      <alignment horizontal="center" vertical="center" wrapText="1"/>
    </xf>
    <xf numFmtId="0" fontId="57" fillId="0" borderId="43" xfId="0" applyFont="1" applyBorder="1" applyAlignment="1">
      <alignment horizontal="center" vertical="center" wrapText="1"/>
    </xf>
    <xf numFmtId="0" fontId="57" fillId="0" borderId="44" xfId="0" applyFont="1" applyBorder="1" applyAlignment="1">
      <alignment horizontal="center" vertical="center" wrapText="1"/>
    </xf>
    <xf numFmtId="0" fontId="26" fillId="12" borderId="12" xfId="0" applyFont="1" applyFill="1" applyBorder="1" applyAlignment="1">
      <alignment horizontal="center" vertical="center" wrapText="1" readingOrder="1"/>
    </xf>
    <xf numFmtId="0" fontId="26" fillId="12" borderId="13" xfId="0" applyFont="1" applyFill="1" applyBorder="1" applyAlignment="1">
      <alignment horizontal="center" vertical="center" wrapText="1" readingOrder="1"/>
    </xf>
    <xf numFmtId="0" fontId="26" fillId="12" borderId="24" xfId="0" applyFont="1" applyFill="1" applyBorder="1" applyAlignment="1">
      <alignment horizontal="center" vertical="center" wrapText="1" readingOrder="1"/>
    </xf>
    <xf numFmtId="0" fontId="21" fillId="3" borderId="0" xfId="0" applyFont="1" applyFill="1" applyAlignment="1">
      <alignment horizontal="justify" vertical="center" wrapText="1"/>
    </xf>
    <xf numFmtId="0" fontId="23" fillId="12" borderId="21" xfId="0" applyFont="1" applyFill="1" applyBorder="1" applyAlignment="1">
      <alignment horizontal="center" vertical="center" wrapText="1" readingOrder="1"/>
    </xf>
    <xf numFmtId="0" fontId="23" fillId="12" borderId="22" xfId="0" applyFont="1" applyFill="1" applyBorder="1" applyAlignment="1">
      <alignment horizontal="center" vertical="center" wrapText="1" readingOrder="1"/>
    </xf>
    <xf numFmtId="0" fontId="23" fillId="3" borderId="19" xfId="0" applyFont="1" applyFill="1" applyBorder="1" applyAlignment="1">
      <alignment horizontal="center" vertical="center" wrapText="1" readingOrder="1"/>
    </xf>
    <xf numFmtId="0" fontId="23" fillId="3" borderId="14" xfId="0" applyFont="1" applyFill="1" applyBorder="1" applyAlignment="1">
      <alignment horizontal="center" vertical="center" wrapText="1" readingOrder="1"/>
    </xf>
    <xf numFmtId="0" fontId="23" fillId="3" borderId="11" xfId="0"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cellXfs>
  <cellStyles count="9">
    <cellStyle name="Hipervínculo" xfId="8" builtinId="8"/>
    <cellStyle name="Normal" xfId="0" builtinId="0"/>
    <cellStyle name="Normal - Style1 2" xfId="2" xr:uid="{00000000-0005-0000-0000-000001000000}"/>
    <cellStyle name="Normal 2" xfId="4" xr:uid="{00000000-0005-0000-0000-000002000000}"/>
    <cellStyle name="Normal 2 2" xfId="3" xr:uid="{00000000-0005-0000-0000-000003000000}"/>
    <cellStyle name="Normal 2 3" xfId="6" xr:uid="{4256C624-B37C-47C2-90A5-6728E9E1A080}"/>
    <cellStyle name="Normal 3" xfId="5" xr:uid="{00000000-0005-0000-0000-000004000000}"/>
    <cellStyle name="Normal 3 2" xfId="7" xr:uid="{4A9CE000-4011-47D3-AD7E-06D7FF5F09D9}"/>
    <cellStyle name="Porcentaje" xfId="1" builtinId="5"/>
  </cellStyles>
  <dxfs count="37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5"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5" tint="-0.24994659260841701"/>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1158875</xdr:colOff>
      <xdr:row>0</xdr:row>
      <xdr:rowOff>133350</xdr:rowOff>
    </xdr:from>
    <xdr:to>
      <xdr:col>2</xdr:col>
      <xdr:colOff>497075</xdr:colOff>
      <xdr:row>3</xdr:row>
      <xdr:rowOff>139411</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 y="133350"/>
          <a:ext cx="957450" cy="62518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84E6AA9F-B926-4A25-99E5-933139FAF8C4}"/>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6F24A5BC-05DE-4F97-8EE1-8F6E4FA5C250}"/>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Users/ATHLON/Documents/CONTRATO%20ISVIMED_CES%202021/DESARROLLO%20DE%20CONTRATO/MATRICES%20DE%20RIESGO%20EN%20ACTUALIZACION/MATRICES%20DE%20RIESGO/GESTION%20HUMANA/MATRIZ%20DE%20RIESGOS%20GESTI&#211;N%20HUMANA_v2021_FINAL.xlsx?B735E026" TargetMode="External"/><Relationship Id="rId2" Type="http://schemas.openxmlformats.org/officeDocument/2006/relationships/externalLinkPath" Target="file:///\\B735E026\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375" dataDxfId="374">
  <autoFilter ref="B177:C187" xr:uid="{00000000-0009-0000-0100-000002000000}"/>
  <tableColumns count="2">
    <tableColumn id="1" xr3:uid="{00000000-0010-0000-0000-000001000000}" name="Criterios" dataDxfId="373"/>
    <tableColumn id="2" xr3:uid="{00000000-0010-0000-0000-000002000000}" name="Subcriterios" dataDxfId="37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isvimedgovco-my.sharepoint.com/:f:/g/personal/leydy_jaramillo_isvimed_gov_co/IgDwGPxjW1FgT7hzun_YqV-hAdSutnug-HsTTaZwX03gRAo?e=6qs3A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zoomScale="70" zoomScaleNormal="70" workbookViewId="0">
      <selection activeCell="I16" sqref="I16:M16"/>
    </sheetView>
  </sheetViews>
  <sheetFormatPr baseColWidth="10" defaultColWidth="24.33203125" defaultRowHeight="15.6" x14ac:dyDescent="0.3"/>
  <cols>
    <col min="1" max="1" width="15.6640625" style="49" customWidth="1"/>
    <col min="2" max="2" width="22.44140625" style="49" customWidth="1"/>
    <col min="3" max="3" width="34.33203125" style="49" hidden="1" customWidth="1"/>
    <col min="4" max="4" width="24.33203125" style="49" customWidth="1"/>
    <col min="5" max="5" width="20.44140625" style="49" customWidth="1"/>
    <col min="6" max="6" width="23.33203125" style="49" customWidth="1"/>
    <col min="7" max="7" width="27.6640625" style="49" customWidth="1"/>
    <col min="8" max="8" width="27.6640625" style="49" hidden="1" customWidth="1"/>
    <col min="9" max="9" width="17.44140625" style="49" customWidth="1"/>
    <col min="10" max="10" width="20.6640625" style="49" customWidth="1"/>
    <col min="11" max="11" width="19.44140625" style="49" customWidth="1"/>
    <col min="12" max="12" width="19.33203125" style="49" customWidth="1"/>
    <col min="13" max="13" width="14.6640625" style="49" customWidth="1"/>
    <col min="14" max="14" width="19.44140625" style="49" customWidth="1"/>
    <col min="15" max="15" width="16.33203125" style="49" customWidth="1"/>
    <col min="16" max="16" width="24.33203125" style="49"/>
    <col min="17" max="17" width="15.44140625" style="49" customWidth="1"/>
    <col min="18" max="18" width="17.33203125" style="49" customWidth="1"/>
    <col min="19" max="19" width="20.44140625" style="49" customWidth="1"/>
    <col min="20" max="20" width="21.44140625" style="49" customWidth="1"/>
    <col min="21" max="21" width="19.6640625" style="49" customWidth="1"/>
    <col min="22" max="16384" width="24.33203125" style="49"/>
  </cols>
  <sheetData>
    <row r="1" spans="1:13" s="50" customFormat="1" ht="19.95" customHeight="1" x14ac:dyDescent="0.3">
      <c r="A1" s="250"/>
      <c r="B1" s="253" t="s">
        <v>0</v>
      </c>
      <c r="C1" s="254"/>
      <c r="D1" s="254"/>
      <c r="E1" s="254"/>
      <c r="F1" s="254"/>
      <c r="G1" s="254"/>
      <c r="H1" s="254"/>
      <c r="I1" s="254"/>
      <c r="J1" s="254"/>
      <c r="K1" s="255"/>
      <c r="L1" s="262" t="s">
        <v>1</v>
      </c>
      <c r="M1" s="262"/>
    </row>
    <row r="2" spans="1:13" s="50" customFormat="1" ht="19.95" customHeight="1" x14ac:dyDescent="0.3">
      <c r="A2" s="251"/>
      <c r="B2" s="256"/>
      <c r="C2" s="257"/>
      <c r="D2" s="257"/>
      <c r="E2" s="257"/>
      <c r="F2" s="257"/>
      <c r="G2" s="257"/>
      <c r="H2" s="257"/>
      <c r="I2" s="257"/>
      <c r="J2" s="257"/>
      <c r="K2" s="258"/>
      <c r="L2" s="262" t="s">
        <v>2</v>
      </c>
      <c r="M2" s="262"/>
    </row>
    <row r="3" spans="1:13" s="50" customFormat="1" ht="19.95" customHeight="1" x14ac:dyDescent="0.3">
      <c r="A3" s="251"/>
      <c r="B3" s="256"/>
      <c r="C3" s="257"/>
      <c r="D3" s="257"/>
      <c r="E3" s="257"/>
      <c r="F3" s="257"/>
      <c r="G3" s="257"/>
      <c r="H3" s="257"/>
      <c r="I3" s="257"/>
      <c r="J3" s="257"/>
      <c r="K3" s="258"/>
      <c r="L3" s="262" t="s">
        <v>3</v>
      </c>
      <c r="M3" s="262"/>
    </row>
    <row r="4" spans="1:13" s="50" customFormat="1" ht="19.95" customHeight="1" x14ac:dyDescent="0.3">
      <c r="A4" s="252"/>
      <c r="B4" s="259"/>
      <c r="C4" s="260"/>
      <c r="D4" s="260"/>
      <c r="E4" s="260"/>
      <c r="F4" s="260"/>
      <c r="G4" s="260"/>
      <c r="H4" s="260"/>
      <c r="I4" s="260"/>
      <c r="J4" s="260"/>
      <c r="K4" s="261"/>
      <c r="L4" s="262" t="s">
        <v>4</v>
      </c>
      <c r="M4" s="262"/>
    </row>
    <row r="5" spans="1:13" ht="19.95" customHeight="1" x14ac:dyDescent="0.3"/>
    <row r="6" spans="1:13" ht="25.2" x14ac:dyDescent="0.3">
      <c r="A6" s="245" t="s">
        <v>5</v>
      </c>
      <c r="B6" s="245"/>
      <c r="C6" s="245"/>
      <c r="D6" s="245"/>
      <c r="E6" s="245"/>
      <c r="F6" s="245"/>
      <c r="G6" s="245"/>
      <c r="H6" s="245"/>
      <c r="I6" s="245"/>
      <c r="J6" s="245"/>
      <c r="K6" s="245"/>
      <c r="L6" s="245"/>
      <c r="M6" s="245"/>
    </row>
    <row r="9" spans="1:13" ht="24.75" customHeight="1" x14ac:dyDescent="0.3">
      <c r="A9" s="246" t="s">
        <v>6</v>
      </c>
      <c r="B9" s="246"/>
      <c r="C9" s="51"/>
      <c r="D9" s="247" t="s">
        <v>7</v>
      </c>
      <c r="E9" s="247"/>
      <c r="F9" s="247"/>
      <c r="G9" s="247"/>
      <c r="H9" s="247"/>
      <c r="I9" s="247"/>
      <c r="J9" s="247"/>
      <c r="K9" s="247"/>
      <c r="L9" s="247"/>
      <c r="M9" s="247"/>
    </row>
    <row r="10" spans="1:13" ht="24.75" customHeight="1" x14ac:dyDescent="0.3">
      <c r="A10" s="246" t="s">
        <v>8</v>
      </c>
      <c r="B10" s="246"/>
      <c r="C10" s="248"/>
      <c r="D10" s="248"/>
      <c r="E10" s="247" t="s">
        <v>9</v>
      </c>
      <c r="F10" s="247"/>
      <c r="G10" s="247"/>
      <c r="H10" s="247"/>
      <c r="I10" s="247"/>
      <c r="J10" s="247"/>
      <c r="K10" s="247"/>
      <c r="L10" s="247"/>
      <c r="M10" s="247"/>
    </row>
    <row r="11" spans="1:13" ht="39.75" customHeight="1" x14ac:dyDescent="0.3">
      <c r="A11" s="246" t="s">
        <v>10</v>
      </c>
      <c r="B11" s="246"/>
      <c r="C11" s="246"/>
      <c r="D11" s="246"/>
      <c r="E11" s="248"/>
      <c r="F11" s="249" t="s">
        <v>11</v>
      </c>
      <c r="G11" s="247"/>
      <c r="H11" s="247"/>
      <c r="I11" s="247"/>
      <c r="J11" s="247"/>
      <c r="K11" s="247"/>
      <c r="L11" s="247"/>
      <c r="M11" s="247"/>
    </row>
    <row r="12" spans="1:13" ht="22.95" customHeight="1" x14ac:dyDescent="0.3"/>
    <row r="13" spans="1:13" ht="20.25" customHeight="1" x14ac:dyDescent="0.3"/>
    <row r="14" spans="1:13" ht="27.75" customHeight="1" x14ac:dyDescent="0.3">
      <c r="A14" s="263" t="s">
        <v>12</v>
      </c>
      <c r="B14" s="263"/>
      <c r="C14" s="52"/>
      <c r="D14" s="264" t="s">
        <v>13</v>
      </c>
      <c r="E14" s="264"/>
      <c r="F14" s="264"/>
      <c r="G14" s="264" t="s">
        <v>14</v>
      </c>
      <c r="H14" s="264"/>
      <c r="I14" s="264"/>
      <c r="J14" s="264"/>
      <c r="K14" s="264"/>
      <c r="L14" s="264"/>
      <c r="M14" s="264"/>
    </row>
    <row r="15" spans="1:13" ht="37.5" customHeight="1" x14ac:dyDescent="0.3">
      <c r="A15" s="263"/>
      <c r="B15" s="263"/>
      <c r="C15" s="52"/>
      <c r="D15" s="264"/>
      <c r="E15" s="264"/>
      <c r="F15" s="264"/>
      <c r="G15" s="53" t="s">
        <v>15</v>
      </c>
      <c r="H15" s="53"/>
      <c r="I15" s="264" t="s">
        <v>16</v>
      </c>
      <c r="J15" s="264"/>
      <c r="K15" s="264"/>
      <c r="L15" s="264"/>
      <c r="M15" s="264"/>
    </row>
    <row r="16" spans="1:13" ht="55.5" customHeight="1" x14ac:dyDescent="0.25">
      <c r="A16" s="243" t="s">
        <v>17</v>
      </c>
      <c r="B16" s="241"/>
      <c r="C16" s="54" t="s">
        <v>17</v>
      </c>
      <c r="D16" s="243" t="s">
        <v>18</v>
      </c>
      <c r="E16" s="242"/>
      <c r="F16" s="241"/>
      <c r="G16" s="55" t="s">
        <v>19</v>
      </c>
      <c r="H16" s="56" t="s">
        <v>19</v>
      </c>
      <c r="I16" s="244" t="s">
        <v>20</v>
      </c>
      <c r="J16" s="239"/>
      <c r="K16" s="239"/>
      <c r="L16" s="239"/>
      <c r="M16" s="238"/>
    </row>
    <row r="17" spans="1:13" ht="66" customHeight="1" x14ac:dyDescent="0.25">
      <c r="A17" s="243" t="s">
        <v>17</v>
      </c>
      <c r="B17" s="241"/>
      <c r="C17" s="54" t="s">
        <v>21</v>
      </c>
      <c r="D17" s="243" t="s">
        <v>22</v>
      </c>
      <c r="E17" s="242"/>
      <c r="F17" s="241"/>
      <c r="G17" s="55" t="s">
        <v>23</v>
      </c>
      <c r="H17" s="56" t="s">
        <v>23</v>
      </c>
      <c r="I17" s="244" t="s">
        <v>24</v>
      </c>
      <c r="J17" s="239"/>
      <c r="K17" s="239"/>
      <c r="L17" s="239"/>
      <c r="M17" s="238"/>
    </row>
    <row r="18" spans="1:13" ht="36" customHeight="1" x14ac:dyDescent="0.25">
      <c r="A18" s="243" t="s">
        <v>21</v>
      </c>
      <c r="B18" s="241"/>
      <c r="C18" s="54" t="s">
        <v>25</v>
      </c>
      <c r="D18" s="243" t="s">
        <v>26</v>
      </c>
      <c r="E18" s="242"/>
      <c r="F18" s="241"/>
      <c r="G18" s="55" t="s">
        <v>23</v>
      </c>
      <c r="H18" s="56"/>
      <c r="I18" s="244" t="s">
        <v>27</v>
      </c>
      <c r="J18" s="239"/>
      <c r="K18" s="239"/>
      <c r="L18" s="239"/>
      <c r="M18" s="238"/>
    </row>
    <row r="19" spans="1:13" ht="36" customHeight="1" x14ac:dyDescent="0.25">
      <c r="A19" s="243" t="s">
        <v>17</v>
      </c>
      <c r="B19" s="241"/>
      <c r="C19" s="54"/>
      <c r="D19" s="243" t="s">
        <v>28</v>
      </c>
      <c r="E19" s="242"/>
      <c r="F19" s="241"/>
      <c r="G19" s="55" t="s">
        <v>23</v>
      </c>
      <c r="H19" s="56"/>
      <c r="I19" s="244" t="s">
        <v>29</v>
      </c>
      <c r="J19" s="242"/>
      <c r="K19" s="242"/>
      <c r="L19" s="242"/>
      <c r="M19" s="241"/>
    </row>
    <row r="20" spans="1:13" ht="36" customHeight="1" x14ac:dyDescent="0.25">
      <c r="A20" s="243" t="s">
        <v>17</v>
      </c>
      <c r="B20" s="241"/>
      <c r="C20" s="54"/>
      <c r="D20" s="243" t="s">
        <v>30</v>
      </c>
      <c r="E20" s="242"/>
      <c r="F20" s="241"/>
      <c r="G20" s="55" t="s">
        <v>19</v>
      </c>
      <c r="H20" s="56"/>
      <c r="I20" s="244" t="s">
        <v>31</v>
      </c>
      <c r="J20" s="239"/>
      <c r="K20" s="239"/>
      <c r="L20" s="239"/>
      <c r="M20" s="238"/>
    </row>
    <row r="21" spans="1:13" ht="36" customHeight="1" x14ac:dyDescent="0.25">
      <c r="A21" s="243" t="s">
        <v>17</v>
      </c>
      <c r="B21" s="241"/>
      <c r="C21" s="54"/>
      <c r="D21" s="243" t="s">
        <v>32</v>
      </c>
      <c r="E21" s="242"/>
      <c r="F21" s="241"/>
      <c r="G21" s="55" t="s">
        <v>19</v>
      </c>
      <c r="H21" s="56"/>
      <c r="I21" s="244" t="s">
        <v>33</v>
      </c>
      <c r="J21" s="242"/>
      <c r="K21" s="242"/>
      <c r="L21" s="242"/>
      <c r="M21" s="241"/>
    </row>
    <row r="22" spans="1:13" ht="36" customHeight="1" x14ac:dyDescent="0.25">
      <c r="A22" s="243" t="s">
        <v>17</v>
      </c>
      <c r="B22" s="241"/>
      <c r="C22" s="54"/>
      <c r="D22" s="243" t="s">
        <v>34</v>
      </c>
      <c r="E22" s="242"/>
      <c r="F22" s="241"/>
      <c r="G22" s="55" t="s">
        <v>23</v>
      </c>
      <c r="H22" s="56"/>
      <c r="I22" s="244" t="s">
        <v>35</v>
      </c>
      <c r="J22" s="239"/>
      <c r="K22" s="239"/>
      <c r="L22" s="239"/>
      <c r="M22" s="238"/>
    </row>
    <row r="23" spans="1:13" ht="36" customHeight="1" x14ac:dyDescent="0.25">
      <c r="A23" s="243" t="s">
        <v>21</v>
      </c>
      <c r="B23" s="241"/>
      <c r="C23" s="54"/>
      <c r="D23" s="243" t="s">
        <v>36</v>
      </c>
      <c r="E23" s="242"/>
      <c r="F23" s="241"/>
      <c r="G23" s="55" t="s">
        <v>23</v>
      </c>
      <c r="H23" s="56"/>
      <c r="I23" s="244" t="s">
        <v>37</v>
      </c>
      <c r="J23" s="242"/>
      <c r="K23" s="242"/>
      <c r="L23" s="242"/>
      <c r="M23" s="241"/>
    </row>
    <row r="24" spans="1:13" ht="36" customHeight="1" x14ac:dyDescent="0.25">
      <c r="A24" s="243" t="s">
        <v>17</v>
      </c>
      <c r="B24" s="241"/>
      <c r="C24" s="54"/>
      <c r="D24" s="243" t="s">
        <v>38</v>
      </c>
      <c r="E24" s="242"/>
      <c r="F24" s="241"/>
      <c r="G24" s="55" t="s">
        <v>23</v>
      </c>
      <c r="H24" s="56"/>
      <c r="I24" s="244" t="s">
        <v>39</v>
      </c>
      <c r="J24" s="242"/>
      <c r="K24" s="242"/>
      <c r="L24" s="242"/>
      <c r="M24" s="241"/>
    </row>
    <row r="25" spans="1:13" ht="36" customHeight="1" x14ac:dyDescent="0.25">
      <c r="A25" s="243" t="s">
        <v>21</v>
      </c>
      <c r="B25" s="241"/>
      <c r="C25" s="54"/>
      <c r="D25" s="243" t="s">
        <v>40</v>
      </c>
      <c r="E25" s="242"/>
      <c r="F25" s="241"/>
      <c r="G25" s="55" t="s">
        <v>23</v>
      </c>
      <c r="H25" s="56"/>
      <c r="I25" s="243" t="s">
        <v>41</v>
      </c>
      <c r="J25" s="242"/>
      <c r="K25" s="242"/>
      <c r="L25" s="242"/>
      <c r="M25" s="241"/>
    </row>
    <row r="26" spans="1:13" ht="36" customHeight="1" x14ac:dyDescent="0.25">
      <c r="A26" s="243" t="s">
        <v>21</v>
      </c>
      <c r="B26" s="241"/>
      <c r="C26" s="54"/>
      <c r="D26" s="243" t="s">
        <v>42</v>
      </c>
      <c r="E26" s="242"/>
      <c r="F26" s="241"/>
      <c r="G26" s="55" t="s">
        <v>23</v>
      </c>
      <c r="H26" s="56"/>
      <c r="I26" s="243" t="s">
        <v>43</v>
      </c>
      <c r="J26" s="242"/>
      <c r="K26" s="242"/>
      <c r="L26" s="242"/>
      <c r="M26" s="241"/>
    </row>
    <row r="27" spans="1:13" ht="36" customHeight="1" x14ac:dyDescent="0.25">
      <c r="A27" s="243" t="s">
        <v>17</v>
      </c>
      <c r="B27" s="241"/>
      <c r="C27" s="54"/>
      <c r="D27" s="243" t="s">
        <v>44</v>
      </c>
      <c r="E27" s="242"/>
      <c r="F27" s="241"/>
      <c r="G27" s="55" t="s">
        <v>23</v>
      </c>
      <c r="H27" s="56"/>
      <c r="I27" s="244" t="s">
        <v>45</v>
      </c>
      <c r="J27" s="242"/>
      <c r="K27" s="242"/>
      <c r="L27" s="242"/>
      <c r="M27" s="241"/>
    </row>
    <row r="28" spans="1:13" ht="36" customHeight="1" x14ac:dyDescent="0.25">
      <c r="A28" s="243" t="s">
        <v>17</v>
      </c>
      <c r="B28" s="241"/>
      <c r="C28" s="54"/>
      <c r="D28" s="243" t="s">
        <v>46</v>
      </c>
      <c r="E28" s="242"/>
      <c r="F28" s="241"/>
      <c r="G28" s="55" t="s">
        <v>23</v>
      </c>
      <c r="H28" s="56"/>
      <c r="I28" s="243" t="s">
        <v>47</v>
      </c>
      <c r="J28" s="242"/>
      <c r="K28" s="242"/>
      <c r="L28" s="242"/>
      <c r="M28" s="241"/>
    </row>
    <row r="29" spans="1:13" ht="59.25" customHeight="1" x14ac:dyDescent="0.25">
      <c r="A29" s="240" t="s">
        <v>21</v>
      </c>
      <c r="B29" s="241"/>
      <c r="C29" s="57"/>
      <c r="D29" s="240" t="s">
        <v>48</v>
      </c>
      <c r="E29" s="242"/>
      <c r="F29" s="241"/>
      <c r="G29" s="58" t="s">
        <v>23</v>
      </c>
      <c r="H29" s="57"/>
      <c r="I29" s="237" t="s">
        <v>49</v>
      </c>
      <c r="J29" s="239"/>
      <c r="K29" s="239"/>
      <c r="L29" s="239"/>
      <c r="M29" s="238"/>
    </row>
    <row r="30" spans="1:13" ht="73.5" customHeight="1" x14ac:dyDescent="0.25">
      <c r="A30" s="240" t="s">
        <v>21</v>
      </c>
      <c r="B30" s="241"/>
      <c r="C30" s="57"/>
      <c r="D30" s="237" t="s">
        <v>50</v>
      </c>
      <c r="E30" s="242"/>
      <c r="F30" s="241"/>
      <c r="G30" s="58" t="s">
        <v>23</v>
      </c>
      <c r="H30" s="57"/>
      <c r="I30" s="237" t="s">
        <v>51</v>
      </c>
      <c r="J30" s="239"/>
      <c r="K30" s="239"/>
      <c r="L30" s="239"/>
      <c r="M30" s="238"/>
    </row>
    <row r="31" spans="1:13" ht="66" customHeight="1" x14ac:dyDescent="0.25">
      <c r="A31" s="240" t="s">
        <v>21</v>
      </c>
      <c r="B31" s="241"/>
      <c r="C31" s="57"/>
      <c r="D31" s="237" t="s">
        <v>52</v>
      </c>
      <c r="E31" s="239"/>
      <c r="F31" s="238"/>
      <c r="G31" s="58" t="s">
        <v>23</v>
      </c>
      <c r="H31" s="57"/>
      <c r="I31" s="237" t="s">
        <v>53</v>
      </c>
      <c r="J31" s="239"/>
      <c r="K31" s="239"/>
      <c r="L31" s="239"/>
      <c r="M31" s="238"/>
    </row>
    <row r="32" spans="1:13" ht="62.7" customHeight="1" x14ac:dyDescent="0.25">
      <c r="A32" s="240" t="s">
        <v>21</v>
      </c>
      <c r="B32" s="241"/>
      <c r="C32" s="57"/>
      <c r="D32" s="240" t="s">
        <v>54</v>
      </c>
      <c r="E32" s="242"/>
      <c r="F32" s="241"/>
      <c r="G32" s="58" t="s">
        <v>23</v>
      </c>
      <c r="H32" s="57"/>
      <c r="I32" s="237" t="s">
        <v>55</v>
      </c>
      <c r="J32" s="239"/>
      <c r="K32" s="239"/>
      <c r="L32" s="239"/>
      <c r="M32" s="238"/>
    </row>
    <row r="33" spans="1:13" ht="36" customHeight="1" x14ac:dyDescent="0.25">
      <c r="A33" s="237" t="s">
        <v>21</v>
      </c>
      <c r="B33" s="238"/>
      <c r="C33" s="59"/>
      <c r="D33" s="237" t="s">
        <v>56</v>
      </c>
      <c r="E33" s="239"/>
      <c r="F33" s="238"/>
      <c r="G33" s="60" t="s">
        <v>23</v>
      </c>
      <c r="H33" s="59"/>
      <c r="I33" s="237" t="s">
        <v>57</v>
      </c>
      <c r="J33" s="239"/>
      <c r="K33" s="239"/>
      <c r="L33" s="239"/>
      <c r="M33" s="238"/>
    </row>
    <row r="34" spans="1:13" ht="36" customHeight="1" x14ac:dyDescent="0.25">
      <c r="A34" s="237" t="s">
        <v>21</v>
      </c>
      <c r="B34" s="238"/>
      <c r="C34" s="59"/>
      <c r="D34" s="237" t="s">
        <v>58</v>
      </c>
      <c r="E34" s="239"/>
      <c r="F34" s="238"/>
      <c r="G34" s="60" t="s">
        <v>23</v>
      </c>
      <c r="H34" s="59"/>
      <c r="I34" s="237" t="s">
        <v>59</v>
      </c>
      <c r="J34" s="239"/>
      <c r="K34" s="239"/>
      <c r="L34" s="239"/>
      <c r="M34" s="238"/>
    </row>
    <row r="35" spans="1:13" ht="36" customHeight="1" x14ac:dyDescent="0.25">
      <c r="A35" s="237" t="s">
        <v>21</v>
      </c>
      <c r="B35" s="238"/>
      <c r="C35" s="59"/>
      <c r="D35" s="237" t="s">
        <v>60</v>
      </c>
      <c r="E35" s="239"/>
      <c r="F35" s="238"/>
      <c r="G35" s="60" t="s">
        <v>23</v>
      </c>
      <c r="H35" s="59"/>
      <c r="I35" s="237" t="s">
        <v>61</v>
      </c>
      <c r="J35" s="239"/>
      <c r="K35" s="239"/>
      <c r="L35" s="239"/>
      <c r="M35" s="238"/>
    </row>
    <row r="36" spans="1:13" ht="36" customHeight="1" x14ac:dyDescent="0.25">
      <c r="A36" s="237" t="s">
        <v>21</v>
      </c>
      <c r="B36" s="238"/>
      <c r="C36" s="59"/>
      <c r="D36" s="237" t="s">
        <v>62</v>
      </c>
      <c r="E36" s="239"/>
      <c r="F36" s="238"/>
      <c r="G36" s="60" t="s">
        <v>23</v>
      </c>
      <c r="H36" s="59"/>
      <c r="I36" s="237" t="s">
        <v>63</v>
      </c>
      <c r="J36" s="239"/>
      <c r="K36" s="239"/>
      <c r="L36" s="239"/>
      <c r="M36" s="238"/>
    </row>
    <row r="37" spans="1:13" ht="36" customHeight="1" x14ac:dyDescent="0.25">
      <c r="A37" s="237" t="s">
        <v>21</v>
      </c>
      <c r="B37" s="238"/>
      <c r="C37" s="59"/>
      <c r="D37" s="237" t="s">
        <v>64</v>
      </c>
      <c r="E37" s="239"/>
      <c r="F37" s="238"/>
      <c r="G37" s="60" t="s">
        <v>19</v>
      </c>
      <c r="H37" s="59"/>
      <c r="I37" s="237" t="s">
        <v>65</v>
      </c>
      <c r="J37" s="239"/>
      <c r="K37" s="239"/>
      <c r="L37" s="239"/>
      <c r="M37" s="238"/>
    </row>
    <row r="38" spans="1:13" ht="36" customHeight="1" x14ac:dyDescent="0.25">
      <c r="A38" s="237" t="s">
        <v>21</v>
      </c>
      <c r="B38" s="238"/>
      <c r="C38" s="59"/>
      <c r="D38" s="237" t="s">
        <v>66</v>
      </c>
      <c r="E38" s="239"/>
      <c r="F38" s="238"/>
      <c r="G38" s="60" t="s">
        <v>23</v>
      </c>
      <c r="H38" s="59"/>
      <c r="I38" s="237" t="s">
        <v>67</v>
      </c>
      <c r="J38" s="239"/>
      <c r="K38" s="239"/>
      <c r="L38" s="239"/>
      <c r="M38" s="238"/>
    </row>
    <row r="39" spans="1:13" ht="36" customHeight="1" x14ac:dyDescent="0.25">
      <c r="A39" s="237" t="s">
        <v>21</v>
      </c>
      <c r="B39" s="238"/>
      <c r="C39" s="59"/>
      <c r="D39" s="237" t="s">
        <v>68</v>
      </c>
      <c r="E39" s="239"/>
      <c r="F39" s="238"/>
      <c r="G39" s="60" t="s">
        <v>23</v>
      </c>
      <c r="H39" s="59"/>
      <c r="I39" s="237" t="s">
        <v>69</v>
      </c>
      <c r="J39" s="239"/>
      <c r="K39" s="239"/>
      <c r="L39" s="239"/>
      <c r="M39" s="238"/>
    </row>
    <row r="40" spans="1:13" ht="36" customHeight="1" x14ac:dyDescent="0.25">
      <c r="A40" s="237" t="s">
        <v>21</v>
      </c>
      <c r="B40" s="238"/>
      <c r="C40" s="59"/>
      <c r="D40" s="237" t="s">
        <v>70</v>
      </c>
      <c r="E40" s="239"/>
      <c r="F40" s="238"/>
      <c r="G40" s="60" t="s">
        <v>23</v>
      </c>
      <c r="H40" s="59"/>
      <c r="I40" s="237" t="s">
        <v>71</v>
      </c>
      <c r="J40" s="239"/>
      <c r="K40" s="239"/>
      <c r="L40" s="239"/>
      <c r="M40" s="238"/>
    </row>
    <row r="41" spans="1:13" ht="36" customHeight="1" x14ac:dyDescent="0.25">
      <c r="A41" s="237" t="s">
        <v>21</v>
      </c>
      <c r="B41" s="238"/>
      <c r="C41" s="59"/>
      <c r="D41" s="237" t="s">
        <v>72</v>
      </c>
      <c r="E41" s="239"/>
      <c r="F41" s="238"/>
      <c r="G41" s="60" t="s">
        <v>23</v>
      </c>
      <c r="H41" s="59"/>
      <c r="I41" s="237" t="s">
        <v>73</v>
      </c>
      <c r="J41" s="239"/>
      <c r="K41" s="239"/>
      <c r="L41" s="239"/>
      <c r="M41" s="238"/>
    </row>
    <row r="42" spans="1:13" ht="36" customHeight="1" x14ac:dyDescent="0.25">
      <c r="A42" s="237" t="s">
        <v>21</v>
      </c>
      <c r="B42" s="238"/>
      <c r="C42" s="59"/>
      <c r="D42" s="237" t="s">
        <v>74</v>
      </c>
      <c r="E42" s="239"/>
      <c r="F42" s="238"/>
      <c r="G42" s="60" t="s">
        <v>23</v>
      </c>
      <c r="H42" s="59"/>
      <c r="I42" s="237" t="s">
        <v>75</v>
      </c>
      <c r="J42" s="239"/>
      <c r="K42" s="239"/>
      <c r="L42" s="239"/>
      <c r="M42" s="238"/>
    </row>
    <row r="43" spans="1:13" ht="36" customHeight="1" x14ac:dyDescent="0.25">
      <c r="A43" s="237" t="s">
        <v>21</v>
      </c>
      <c r="B43" s="238"/>
      <c r="C43" s="59"/>
      <c r="D43" s="237" t="s">
        <v>76</v>
      </c>
      <c r="E43" s="239"/>
      <c r="F43" s="238"/>
      <c r="G43" s="60" t="s">
        <v>23</v>
      </c>
      <c r="H43" s="59"/>
      <c r="I43" s="237" t="s">
        <v>77</v>
      </c>
      <c r="J43" s="239"/>
      <c r="K43" s="239"/>
      <c r="L43" s="239"/>
      <c r="M43" s="238"/>
    </row>
    <row r="44" spans="1:13" ht="36" customHeight="1" x14ac:dyDescent="0.25">
      <c r="A44" s="237" t="s">
        <v>21</v>
      </c>
      <c r="B44" s="238"/>
      <c r="C44" s="59"/>
      <c r="D44" s="237" t="s">
        <v>78</v>
      </c>
      <c r="E44" s="239"/>
      <c r="F44" s="238"/>
      <c r="G44" s="60" t="s">
        <v>23</v>
      </c>
      <c r="H44" s="59"/>
      <c r="I44" s="237" t="s">
        <v>79</v>
      </c>
      <c r="J44" s="239"/>
      <c r="K44" s="239"/>
      <c r="L44" s="239"/>
      <c r="M44" s="238"/>
    </row>
    <row r="45" spans="1:13" ht="25.2" customHeight="1" x14ac:dyDescent="0.3"/>
  </sheetData>
  <mergeCells count="104">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D17:F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2">
    <dataValidation type="list" allowBlank="1" showErrorMessage="1" sqref="A16:A44" xr:uid="{00000000-0002-0000-0000-000000000000}">
      <formula1>$C$16:$C$18</formula1>
    </dataValidation>
    <dataValidation type="list" allowBlank="1" showErrorMessage="1" sqref="G16:G29" xr:uid="{00000000-0002-0000-0000-000001000000}">
      <formula1>$H$16:$H$17</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J115"/>
  <sheetViews>
    <sheetView showGridLines="0" tabSelected="1" zoomScaleNormal="100" workbookViewId="0">
      <selection activeCell="E53" sqref="E53:E54"/>
    </sheetView>
  </sheetViews>
  <sheetFormatPr baseColWidth="10" defaultColWidth="11.44140625" defaultRowHeight="13.8" x14ac:dyDescent="0.25"/>
  <cols>
    <col min="1" max="1" width="3.6640625" style="89" customWidth="1"/>
    <col min="2" max="2" width="24.33203125" style="89" customWidth="1"/>
    <col min="3" max="3" width="29.44140625" style="89" customWidth="1"/>
    <col min="4" max="4" width="31.6640625" style="89" customWidth="1"/>
    <col min="5" max="5" width="32.6640625" style="89" customWidth="1"/>
    <col min="6" max="6" width="30.6640625" style="89" customWidth="1"/>
    <col min="7" max="7" width="38" style="62" customWidth="1"/>
    <col min="8" max="8" width="86.33203125" style="62" customWidth="1"/>
    <col min="9" max="9" width="16.33203125" style="90" customWidth="1"/>
    <col min="10" max="10" width="10.44140625" style="62" customWidth="1"/>
    <col min="11" max="11" width="9.33203125" style="62" customWidth="1"/>
    <col min="12" max="12" width="10.44140625" style="62" customWidth="1"/>
    <col min="13" max="13" width="9.44140625" style="62" customWidth="1"/>
    <col min="14" max="14" width="10.44140625" style="62" customWidth="1"/>
    <col min="15" max="15" width="5.6640625" style="62" customWidth="1"/>
    <col min="16" max="16" width="81.44140625" style="62" customWidth="1"/>
    <col min="17" max="17" width="15.33203125" style="62" customWidth="1"/>
    <col min="18" max="18" width="6.6640625" style="62" customWidth="1"/>
    <col min="19" max="19" width="5" style="62" customWidth="1"/>
    <col min="20" max="20" width="5.44140625" style="62" customWidth="1"/>
    <col min="21" max="21" width="7.33203125" style="62" customWidth="1"/>
    <col min="22" max="22" width="6.6640625" style="62" customWidth="1"/>
    <col min="23" max="23" width="7.44140625" style="62" customWidth="1"/>
    <col min="24" max="24" width="47.44140625" style="62" customWidth="1"/>
    <col min="25" max="25" width="11.33203125" style="62" customWidth="1"/>
    <col min="26" max="26" width="8.6640625" style="62" customWidth="1"/>
    <col min="27" max="27" width="10.44140625" style="62" customWidth="1"/>
    <col min="28" max="29" width="9.33203125" style="62" customWidth="1"/>
    <col min="30" max="33" width="10.33203125" style="62" customWidth="1"/>
    <col min="34" max="34" width="11.6640625" style="62" customWidth="1"/>
    <col min="35" max="35" width="12.44140625" style="62" customWidth="1"/>
    <col min="36" max="36" width="58.33203125" style="62" customWidth="1"/>
    <col min="37" max="37" width="76.6640625" style="62" customWidth="1"/>
    <col min="38" max="38" width="78.77734375" style="62" customWidth="1"/>
    <col min="39" max="39" width="75.109375" style="62" customWidth="1"/>
    <col min="40" max="40" width="128" style="62" customWidth="1"/>
    <col min="41" max="41" width="168.33203125" style="62" hidden="1" customWidth="1"/>
    <col min="42" max="42" width="111" style="62" hidden="1" customWidth="1"/>
    <col min="43" max="43" width="188.109375" style="114" hidden="1" customWidth="1"/>
    <col min="44" max="44" width="109.33203125" style="62" hidden="1" customWidth="1"/>
    <col min="45" max="16384" width="11.44140625" style="62"/>
  </cols>
  <sheetData>
    <row r="1" spans="1:58" ht="16.5" customHeight="1" x14ac:dyDescent="0.25">
      <c r="A1" s="350"/>
      <c r="B1" s="350"/>
      <c r="C1" s="350"/>
      <c r="D1" s="351" t="s">
        <v>0</v>
      </c>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3"/>
      <c r="AG1" s="335" t="s">
        <v>80</v>
      </c>
      <c r="AH1" s="336"/>
      <c r="AI1" s="337"/>
      <c r="AJ1" s="61"/>
      <c r="AK1" s="61"/>
      <c r="AL1" s="61"/>
      <c r="AM1" s="61"/>
      <c r="AN1" s="61"/>
      <c r="AO1" s="61"/>
      <c r="AP1" s="61"/>
      <c r="AQ1" s="113"/>
      <c r="AR1" s="61"/>
      <c r="AS1" s="61"/>
      <c r="AT1" s="61"/>
      <c r="AU1" s="61"/>
      <c r="AV1" s="61"/>
      <c r="AW1" s="61"/>
      <c r="AX1" s="61"/>
      <c r="AY1" s="61"/>
      <c r="AZ1" s="61"/>
      <c r="BA1" s="61"/>
      <c r="BB1" s="61"/>
    </row>
    <row r="2" spans="1:58" ht="16.5" customHeight="1" x14ac:dyDescent="0.25">
      <c r="A2" s="350"/>
      <c r="B2" s="350"/>
      <c r="C2" s="350"/>
      <c r="D2" s="354"/>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6"/>
      <c r="AG2" s="335" t="s">
        <v>81</v>
      </c>
      <c r="AH2" s="336"/>
      <c r="AI2" s="337"/>
      <c r="AJ2" s="61"/>
      <c r="AK2" s="61"/>
      <c r="AL2" s="61"/>
      <c r="AM2" s="61"/>
      <c r="AN2" s="61"/>
      <c r="AO2" s="61"/>
      <c r="AP2" s="61"/>
      <c r="AQ2" s="113"/>
      <c r="AR2" s="61"/>
      <c r="AS2" s="61"/>
      <c r="AT2" s="61"/>
      <c r="AU2" s="61"/>
      <c r="AV2" s="61"/>
      <c r="AW2" s="61"/>
      <c r="AX2" s="61"/>
      <c r="AY2" s="61"/>
      <c r="AZ2" s="61"/>
      <c r="BA2" s="61"/>
      <c r="BB2" s="61"/>
    </row>
    <row r="3" spans="1:58" ht="16.5" customHeight="1" x14ac:dyDescent="0.25">
      <c r="A3" s="350"/>
      <c r="B3" s="350"/>
      <c r="C3" s="350"/>
      <c r="D3" s="354"/>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6"/>
      <c r="AG3" s="335" t="s">
        <v>82</v>
      </c>
      <c r="AH3" s="336"/>
      <c r="AI3" s="337"/>
      <c r="AJ3" s="61"/>
      <c r="AK3" s="61"/>
      <c r="AL3" s="61"/>
      <c r="AM3" s="61"/>
      <c r="AN3" s="61"/>
      <c r="AO3" s="61"/>
      <c r="AP3" s="61"/>
      <c r="AQ3" s="113"/>
      <c r="AR3" s="61"/>
      <c r="AS3" s="61"/>
      <c r="AT3" s="61"/>
      <c r="AU3" s="61"/>
      <c r="AV3" s="61"/>
      <c r="AW3" s="61"/>
      <c r="AX3" s="61"/>
      <c r="AY3" s="61"/>
      <c r="AZ3" s="61"/>
      <c r="BA3" s="61"/>
      <c r="BB3" s="61"/>
    </row>
    <row r="4" spans="1:58" ht="16.5" customHeight="1" x14ac:dyDescent="0.25">
      <c r="A4" s="350"/>
      <c r="B4" s="350"/>
      <c r="C4" s="350"/>
      <c r="D4" s="357"/>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9"/>
      <c r="AG4" s="335" t="s">
        <v>83</v>
      </c>
      <c r="AH4" s="336"/>
      <c r="AI4" s="337"/>
      <c r="AJ4" s="61"/>
      <c r="AK4" s="61"/>
      <c r="AL4" s="61"/>
      <c r="AM4" s="61"/>
      <c r="AN4" s="61"/>
      <c r="AO4" s="61"/>
      <c r="AP4" s="61"/>
      <c r="AQ4" s="113"/>
      <c r="AR4" s="61"/>
      <c r="AS4" s="61"/>
      <c r="AT4" s="61"/>
      <c r="AU4" s="61"/>
      <c r="AV4" s="61"/>
      <c r="AW4" s="61"/>
      <c r="AX4" s="61"/>
      <c r="AY4" s="61"/>
      <c r="AZ4" s="61"/>
      <c r="BA4" s="61"/>
      <c r="BB4" s="61"/>
    </row>
    <row r="5" spans="1:58" x14ac:dyDescent="0.25">
      <c r="A5" s="63"/>
      <c r="B5" s="63"/>
      <c r="C5" s="63"/>
      <c r="D5" s="64"/>
      <c r="E5" s="63"/>
      <c r="F5" s="63"/>
      <c r="G5" s="61"/>
      <c r="H5" s="61"/>
      <c r="I5" s="65"/>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113"/>
      <c r="AR5" s="61"/>
      <c r="AS5" s="61"/>
      <c r="AT5" s="61"/>
      <c r="AU5" s="61"/>
      <c r="AV5" s="61"/>
      <c r="AW5" s="61"/>
      <c r="AX5" s="61"/>
      <c r="AY5" s="61"/>
      <c r="AZ5" s="61"/>
      <c r="BA5" s="61"/>
      <c r="BB5" s="61"/>
    </row>
    <row r="6" spans="1:58" ht="23.25" customHeight="1" x14ac:dyDescent="0.25">
      <c r="A6" s="362" t="s">
        <v>84</v>
      </c>
      <c r="B6" s="362"/>
      <c r="C6" s="363"/>
      <c r="D6" s="374" t="s">
        <v>7</v>
      </c>
      <c r="E6" s="375"/>
      <c r="F6" s="371" t="s">
        <v>8</v>
      </c>
      <c r="G6" s="371"/>
      <c r="H6" s="369" t="s">
        <v>648</v>
      </c>
      <c r="I6" s="370"/>
      <c r="J6" s="66"/>
      <c r="K6" s="66"/>
      <c r="L6" s="66"/>
      <c r="M6" s="66"/>
      <c r="N6" s="66"/>
      <c r="O6" s="66"/>
      <c r="P6" s="66"/>
      <c r="Q6" s="66"/>
      <c r="R6" s="61"/>
      <c r="S6" s="61"/>
      <c r="T6" s="61"/>
      <c r="U6" s="61"/>
      <c r="V6" s="61"/>
      <c r="W6" s="61"/>
      <c r="X6" s="61"/>
      <c r="Y6" s="61"/>
      <c r="Z6" s="61"/>
      <c r="AA6" s="61"/>
      <c r="AB6" s="61"/>
      <c r="AC6" s="61"/>
      <c r="AD6" s="61"/>
      <c r="AE6" s="61"/>
      <c r="AF6" s="61"/>
      <c r="AG6" s="61"/>
      <c r="AH6" s="61"/>
      <c r="AI6" s="61"/>
      <c r="AJ6" s="61"/>
      <c r="AK6" s="61"/>
      <c r="AL6" s="61"/>
      <c r="AM6" s="61"/>
      <c r="AN6" s="61"/>
      <c r="AO6" s="61"/>
      <c r="AP6" s="61"/>
      <c r="AQ6" s="113"/>
      <c r="AR6" s="61"/>
      <c r="AS6" s="61"/>
      <c r="AT6" s="61"/>
      <c r="AU6" s="61"/>
      <c r="AV6" s="61"/>
      <c r="AW6" s="61"/>
      <c r="AX6" s="61"/>
      <c r="AY6" s="61"/>
      <c r="AZ6" s="61"/>
      <c r="BA6" s="61"/>
      <c r="BB6" s="61"/>
    </row>
    <row r="7" spans="1:58" ht="40.950000000000003" customHeight="1" x14ac:dyDescent="0.25">
      <c r="A7" s="364"/>
      <c r="B7" s="364"/>
      <c r="C7" s="365"/>
      <c r="D7" s="376"/>
      <c r="E7" s="377"/>
      <c r="F7" s="372" t="s">
        <v>10</v>
      </c>
      <c r="G7" s="372"/>
      <c r="H7" s="369" t="s">
        <v>649</v>
      </c>
      <c r="I7" s="370"/>
      <c r="J7" s="66"/>
      <c r="K7" s="66"/>
      <c r="L7" s="66"/>
      <c r="M7" s="66"/>
      <c r="N7" s="66"/>
      <c r="O7" s="66"/>
      <c r="P7" s="66"/>
      <c r="Q7" s="66"/>
      <c r="R7" s="61"/>
      <c r="S7" s="61"/>
      <c r="T7" s="61"/>
      <c r="U7" s="61"/>
      <c r="V7" s="61"/>
      <c r="W7" s="61"/>
      <c r="X7" s="61"/>
      <c r="Y7" s="61"/>
      <c r="Z7" s="61"/>
      <c r="AA7" s="61"/>
      <c r="AB7" s="61"/>
      <c r="AC7" s="61"/>
      <c r="AD7" s="61"/>
      <c r="AE7" s="61"/>
      <c r="AF7" s="61"/>
      <c r="AG7" s="61"/>
      <c r="AH7" s="61"/>
      <c r="AI7" s="61"/>
      <c r="AJ7" s="61"/>
      <c r="AK7" s="61"/>
      <c r="AL7" s="61"/>
      <c r="AM7" s="61"/>
      <c r="AN7" s="61"/>
      <c r="AO7" s="61"/>
      <c r="AP7" s="61"/>
      <c r="AQ7" s="113"/>
      <c r="AR7" s="61"/>
      <c r="AS7" s="61"/>
      <c r="AT7" s="61"/>
      <c r="AU7" s="61"/>
      <c r="AV7" s="61"/>
      <c r="AW7" s="61"/>
      <c r="AX7" s="61"/>
      <c r="AY7" s="61"/>
      <c r="AZ7" s="61"/>
      <c r="BA7" s="61"/>
      <c r="BB7" s="61"/>
    </row>
    <row r="8" spans="1:58" ht="22.95" customHeight="1" x14ac:dyDescent="0.25">
      <c r="A8" s="366" t="s">
        <v>85</v>
      </c>
      <c r="B8" s="367"/>
      <c r="C8" s="368"/>
      <c r="D8" s="373" t="s">
        <v>86</v>
      </c>
      <c r="E8" s="373"/>
      <c r="F8" s="373"/>
      <c r="G8" s="373"/>
      <c r="H8" s="373"/>
      <c r="I8" s="373"/>
      <c r="J8" s="66"/>
      <c r="K8" s="66"/>
      <c r="L8" s="66"/>
      <c r="M8" s="66"/>
      <c r="N8" s="66"/>
      <c r="O8" s="66"/>
      <c r="P8" s="66"/>
      <c r="Q8" s="66"/>
      <c r="R8" s="61"/>
      <c r="S8" s="61"/>
      <c r="T8" s="61"/>
      <c r="U8" s="61"/>
      <c r="V8" s="61"/>
      <c r="W8" s="61"/>
      <c r="X8" s="61"/>
      <c r="Y8" s="61"/>
      <c r="Z8" s="61"/>
      <c r="AA8" s="61"/>
      <c r="AB8" s="61"/>
      <c r="AC8" s="61"/>
      <c r="AD8" s="61"/>
      <c r="AE8" s="61"/>
      <c r="AF8" s="61"/>
      <c r="AG8" s="61"/>
      <c r="AH8" s="61"/>
      <c r="AI8" s="61"/>
      <c r="AJ8" s="61"/>
      <c r="AK8" s="61"/>
      <c r="AL8" s="61"/>
      <c r="AM8" s="61"/>
      <c r="AN8" s="61"/>
      <c r="AO8" s="61"/>
      <c r="AP8" s="61"/>
      <c r="AQ8" s="113"/>
      <c r="AR8" s="61"/>
      <c r="AS8" s="61"/>
      <c r="AT8" s="61"/>
      <c r="AU8" s="61"/>
      <c r="AV8" s="61"/>
      <c r="AW8" s="61"/>
      <c r="AX8" s="61"/>
      <c r="AY8" s="61"/>
      <c r="AZ8" s="61"/>
      <c r="BA8" s="61"/>
      <c r="BB8" s="61"/>
    </row>
    <row r="9" spans="1:58" ht="22.95" customHeight="1" x14ac:dyDescent="0.25">
      <c r="A9" s="366" t="s">
        <v>87</v>
      </c>
      <c r="B9" s="367"/>
      <c r="C9" s="368"/>
      <c r="D9" s="373" t="s">
        <v>88</v>
      </c>
      <c r="E9" s="373"/>
      <c r="F9" s="373"/>
      <c r="G9" s="373"/>
      <c r="H9" s="373"/>
      <c r="I9" s="373"/>
      <c r="J9" s="66"/>
      <c r="K9" s="66"/>
      <c r="L9" s="66"/>
      <c r="M9" s="66"/>
      <c r="N9" s="66"/>
      <c r="O9" s="66"/>
      <c r="P9" s="66"/>
      <c r="Q9" s="66"/>
      <c r="R9" s="61"/>
      <c r="S9" s="61"/>
      <c r="T9" s="61"/>
      <c r="U9" s="61"/>
      <c r="V9" s="61"/>
      <c r="W9" s="61"/>
      <c r="X9" s="61"/>
      <c r="Y9" s="61"/>
      <c r="Z9" s="61"/>
      <c r="AA9" s="61"/>
      <c r="AB9" s="61"/>
      <c r="AC9" s="61"/>
      <c r="AD9" s="61"/>
      <c r="AE9" s="61"/>
      <c r="AF9" s="61"/>
      <c r="AG9" s="61"/>
      <c r="AH9" s="61"/>
      <c r="AI9" s="61"/>
      <c r="AJ9" s="61"/>
      <c r="AK9" s="61"/>
      <c r="AL9" s="61"/>
      <c r="AM9" s="61"/>
      <c r="AN9" s="61"/>
      <c r="AO9" s="61"/>
      <c r="AP9" s="61"/>
      <c r="AQ9" s="113"/>
      <c r="AR9" s="61"/>
      <c r="AS9" s="61"/>
      <c r="AT9" s="61"/>
      <c r="AU9" s="61"/>
      <c r="AV9" s="61"/>
      <c r="AW9" s="61"/>
      <c r="AX9" s="61"/>
      <c r="AY9" s="61"/>
      <c r="AZ9" s="61"/>
      <c r="BA9" s="61"/>
      <c r="BB9" s="61"/>
    </row>
    <row r="10" spans="1:58" ht="16.5" customHeight="1" x14ac:dyDescent="0.25">
      <c r="A10" s="62"/>
      <c r="B10" s="62"/>
      <c r="C10" s="62"/>
      <c r="D10" s="67"/>
      <c r="E10" s="67"/>
      <c r="F10" s="67"/>
      <c r="G10" s="67"/>
      <c r="H10" s="67"/>
      <c r="I10" s="67"/>
      <c r="J10" s="66"/>
      <c r="K10" s="66"/>
      <c r="L10" s="66"/>
      <c r="M10" s="66"/>
      <c r="N10" s="66"/>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113"/>
      <c r="AR10" s="61"/>
      <c r="AS10" s="61"/>
      <c r="AT10" s="61"/>
      <c r="AU10" s="61"/>
      <c r="AV10" s="61"/>
      <c r="AW10" s="61"/>
      <c r="AX10" s="61"/>
      <c r="AY10" s="61"/>
      <c r="AZ10" s="61"/>
      <c r="BA10" s="61"/>
      <c r="BB10" s="61"/>
    </row>
    <row r="11" spans="1:58" ht="21.75" customHeight="1" x14ac:dyDescent="0.25">
      <c r="A11" s="344" t="s">
        <v>89</v>
      </c>
      <c r="B11" s="378"/>
      <c r="C11" s="378"/>
      <c r="D11" s="378"/>
      <c r="E11" s="378"/>
      <c r="F11" s="378"/>
      <c r="G11" s="378"/>
      <c r="H11" s="378"/>
      <c r="I11" s="345"/>
      <c r="J11" s="338" t="s">
        <v>90</v>
      </c>
      <c r="K11" s="338"/>
      <c r="L11" s="338"/>
      <c r="M11" s="338"/>
      <c r="N11" s="338"/>
      <c r="O11" s="338"/>
      <c r="P11" s="338"/>
      <c r="Q11" s="338"/>
      <c r="R11" s="338"/>
      <c r="S11" s="338"/>
      <c r="T11" s="338"/>
      <c r="U11" s="338"/>
      <c r="V11" s="338"/>
      <c r="W11" s="338"/>
      <c r="X11" s="338"/>
      <c r="Y11" s="338"/>
      <c r="Z11" s="338"/>
      <c r="AA11" s="338"/>
      <c r="AB11" s="338"/>
      <c r="AC11" s="338"/>
      <c r="AD11" s="338"/>
      <c r="AE11" s="338"/>
      <c r="AF11" s="338"/>
      <c r="AG11" s="338"/>
      <c r="AH11" s="338"/>
      <c r="AI11" s="344" t="s">
        <v>91</v>
      </c>
      <c r="AJ11" s="345"/>
      <c r="AK11" s="391" t="s">
        <v>92</v>
      </c>
      <c r="AL11" s="391" t="s">
        <v>93</v>
      </c>
      <c r="AM11" s="391" t="s">
        <v>94</v>
      </c>
      <c r="AN11" s="391" t="s">
        <v>93</v>
      </c>
      <c r="AO11" s="391" t="s">
        <v>95</v>
      </c>
      <c r="AP11" s="391" t="s">
        <v>93</v>
      </c>
      <c r="AQ11" s="391" t="s">
        <v>96</v>
      </c>
      <c r="AR11" s="391" t="s">
        <v>93</v>
      </c>
      <c r="AS11" s="61"/>
      <c r="AT11" s="61"/>
      <c r="AU11" s="61"/>
      <c r="AV11" s="61"/>
      <c r="AW11" s="61"/>
      <c r="AX11" s="61"/>
      <c r="AY11" s="61"/>
      <c r="AZ11" s="61"/>
      <c r="BA11" s="61"/>
      <c r="BB11" s="61"/>
    </row>
    <row r="12" spans="1:58" ht="16.5" customHeight="1" x14ac:dyDescent="0.25">
      <c r="A12" s="360" t="s">
        <v>97</v>
      </c>
      <c r="B12" s="361" t="s">
        <v>98</v>
      </c>
      <c r="C12" s="361" t="s">
        <v>99</v>
      </c>
      <c r="D12" s="329" t="s">
        <v>100</v>
      </c>
      <c r="E12" s="329" t="s">
        <v>101</v>
      </c>
      <c r="F12" s="329" t="s">
        <v>102</v>
      </c>
      <c r="G12" s="329" t="s">
        <v>103</v>
      </c>
      <c r="H12" s="329" t="s">
        <v>104</v>
      </c>
      <c r="I12" s="329" t="s">
        <v>105</v>
      </c>
      <c r="J12" s="338" t="s">
        <v>106</v>
      </c>
      <c r="K12" s="338"/>
      <c r="L12" s="338"/>
      <c r="M12" s="338"/>
      <c r="N12" s="338"/>
      <c r="O12" s="334" t="s">
        <v>107</v>
      </c>
      <c r="P12" s="334"/>
      <c r="Q12" s="334"/>
      <c r="R12" s="334"/>
      <c r="S12" s="334"/>
      <c r="T12" s="334"/>
      <c r="U12" s="334"/>
      <c r="V12" s="334"/>
      <c r="W12" s="334"/>
      <c r="X12" s="334"/>
      <c r="Y12" s="68"/>
      <c r="Z12" s="68"/>
      <c r="AA12" s="68"/>
      <c r="AB12" s="68"/>
      <c r="AC12" s="68"/>
      <c r="AD12" s="343" t="s">
        <v>108</v>
      </c>
      <c r="AE12" s="343"/>
      <c r="AF12" s="343"/>
      <c r="AG12" s="343"/>
      <c r="AH12" s="343"/>
      <c r="AI12" s="342" t="s">
        <v>109</v>
      </c>
      <c r="AJ12" s="69" t="s">
        <v>110</v>
      </c>
      <c r="AK12" s="392"/>
      <c r="AL12" s="392"/>
      <c r="AM12" s="392"/>
      <c r="AN12" s="392"/>
      <c r="AO12" s="392"/>
      <c r="AP12" s="392"/>
      <c r="AQ12" s="392"/>
      <c r="AR12" s="392"/>
      <c r="AS12" s="61"/>
      <c r="AT12" s="61"/>
      <c r="AU12" s="61"/>
      <c r="AV12" s="61"/>
      <c r="AW12" s="61"/>
      <c r="AX12" s="61"/>
      <c r="AY12" s="61"/>
      <c r="AZ12" s="61"/>
      <c r="BA12" s="61"/>
      <c r="BB12" s="61"/>
    </row>
    <row r="13" spans="1:58" ht="16.5" customHeight="1" x14ac:dyDescent="0.25">
      <c r="A13" s="360"/>
      <c r="B13" s="361"/>
      <c r="C13" s="361"/>
      <c r="D13" s="330"/>
      <c r="E13" s="330"/>
      <c r="F13" s="330"/>
      <c r="G13" s="379"/>
      <c r="H13" s="330"/>
      <c r="I13" s="330"/>
      <c r="J13" s="348" t="s">
        <v>111</v>
      </c>
      <c r="K13" s="348" t="s">
        <v>112</v>
      </c>
      <c r="L13" s="348" t="s">
        <v>113</v>
      </c>
      <c r="M13" s="348" t="s">
        <v>112</v>
      </c>
      <c r="N13" s="348" t="s">
        <v>114</v>
      </c>
      <c r="O13" s="332" t="s">
        <v>115</v>
      </c>
      <c r="P13" s="329" t="s">
        <v>116</v>
      </c>
      <c r="Q13" s="329" t="s">
        <v>117</v>
      </c>
      <c r="R13" s="339" t="s">
        <v>118</v>
      </c>
      <c r="S13" s="340"/>
      <c r="T13" s="340"/>
      <c r="U13" s="340"/>
      <c r="V13" s="340"/>
      <c r="W13" s="340"/>
      <c r="X13" s="341"/>
      <c r="Y13" s="332" t="s">
        <v>119</v>
      </c>
      <c r="Z13" s="332" t="s">
        <v>120</v>
      </c>
      <c r="AA13" s="332" t="s">
        <v>112</v>
      </c>
      <c r="AB13" s="332" t="s">
        <v>121</v>
      </c>
      <c r="AC13" s="332" t="s">
        <v>112</v>
      </c>
      <c r="AD13" s="332" t="s">
        <v>122</v>
      </c>
      <c r="AE13" s="332" t="s">
        <v>112</v>
      </c>
      <c r="AF13" s="332" t="s">
        <v>123</v>
      </c>
      <c r="AG13" s="332" t="s">
        <v>112</v>
      </c>
      <c r="AH13" s="332" t="s">
        <v>124</v>
      </c>
      <c r="AI13" s="342"/>
      <c r="AJ13" s="346" t="s">
        <v>125</v>
      </c>
      <c r="AK13" s="392"/>
      <c r="AL13" s="392"/>
      <c r="AM13" s="392"/>
      <c r="AN13" s="392"/>
      <c r="AO13" s="392"/>
      <c r="AP13" s="392"/>
      <c r="AQ13" s="392"/>
      <c r="AR13" s="392"/>
      <c r="AS13" s="61"/>
      <c r="AT13" s="61"/>
      <c r="AU13" s="61"/>
      <c r="AV13" s="61"/>
      <c r="AW13" s="61"/>
      <c r="AX13" s="61"/>
      <c r="AY13" s="61"/>
      <c r="AZ13" s="61"/>
      <c r="BA13" s="61"/>
      <c r="BB13" s="61"/>
    </row>
    <row r="14" spans="1:58" s="73" customFormat="1" ht="42" customHeight="1" x14ac:dyDescent="0.3">
      <c r="A14" s="360"/>
      <c r="B14" s="361"/>
      <c r="C14" s="361"/>
      <c r="D14" s="331"/>
      <c r="E14" s="331"/>
      <c r="F14" s="331"/>
      <c r="G14" s="380"/>
      <c r="H14" s="331"/>
      <c r="I14" s="331"/>
      <c r="J14" s="349"/>
      <c r="K14" s="349"/>
      <c r="L14" s="349"/>
      <c r="M14" s="349"/>
      <c r="N14" s="349"/>
      <c r="O14" s="333"/>
      <c r="P14" s="331"/>
      <c r="Q14" s="331"/>
      <c r="R14" s="70" t="s">
        <v>126</v>
      </c>
      <c r="S14" s="70" t="s">
        <v>127</v>
      </c>
      <c r="T14" s="70" t="s">
        <v>128</v>
      </c>
      <c r="U14" s="70" t="s">
        <v>129</v>
      </c>
      <c r="V14" s="70" t="s">
        <v>130</v>
      </c>
      <c r="W14" s="70" t="s">
        <v>131</v>
      </c>
      <c r="X14" s="71" t="s">
        <v>132</v>
      </c>
      <c r="Y14" s="333"/>
      <c r="Z14" s="333"/>
      <c r="AA14" s="333"/>
      <c r="AB14" s="333"/>
      <c r="AC14" s="333"/>
      <c r="AD14" s="333"/>
      <c r="AE14" s="333"/>
      <c r="AF14" s="333"/>
      <c r="AG14" s="333"/>
      <c r="AH14" s="333"/>
      <c r="AI14" s="342"/>
      <c r="AJ14" s="347"/>
      <c r="AK14" s="393"/>
      <c r="AL14" s="393"/>
      <c r="AM14" s="393"/>
      <c r="AN14" s="393"/>
      <c r="AO14" s="393"/>
      <c r="AP14" s="393"/>
      <c r="AQ14" s="393"/>
      <c r="AR14" s="393"/>
      <c r="AS14" s="72"/>
      <c r="AT14" s="72"/>
      <c r="AU14" s="72"/>
      <c r="AV14" s="72"/>
      <c r="AW14" s="72"/>
      <c r="AX14" s="72"/>
      <c r="AY14" s="72"/>
      <c r="AZ14" s="72"/>
      <c r="BA14" s="72"/>
      <c r="BB14" s="72"/>
    </row>
    <row r="15" spans="1:58" ht="163.95" customHeight="1" x14ac:dyDescent="0.25">
      <c r="A15" s="303" t="s">
        <v>133</v>
      </c>
      <c r="B15" s="304" t="s">
        <v>134</v>
      </c>
      <c r="C15" s="304" t="s">
        <v>135</v>
      </c>
      <c r="D15" s="269" t="s">
        <v>136</v>
      </c>
      <c r="E15" s="269" t="s">
        <v>137</v>
      </c>
      <c r="F15" s="269" t="s">
        <v>138</v>
      </c>
      <c r="G15" s="300" t="s">
        <v>139</v>
      </c>
      <c r="H15" s="300" t="s">
        <v>140</v>
      </c>
      <c r="I15" s="269" t="s">
        <v>141</v>
      </c>
      <c r="J15" s="271" t="s">
        <v>142</v>
      </c>
      <c r="K15" s="307">
        <f>IF(J15="","",IF(J15="Muy Baja",0.2,IF(J15="Baja",0.4,IF(J15="Media",0.6,IF(J15="Alta",0.8,IF(J15="Muy Alta",1,))))))</f>
        <v>0.8</v>
      </c>
      <c r="L15" s="271" t="s">
        <v>143</v>
      </c>
      <c r="M15" s="307">
        <f>IF(L15="","",IF(L15="Leve",0.2,IF(L15="Menor",0.4,IF(L15="Moderado",0.6,IF(L15="Mayor",0.8,IF(L15="Catastrófico",1,))))))</f>
        <v>0.8</v>
      </c>
      <c r="N15" s="308"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5">
        <v>1.1000000000000001</v>
      </c>
      <c r="P15" s="85" t="s">
        <v>144</v>
      </c>
      <c r="Q15" s="25" t="str">
        <f>IF(OR(R15="Preventivo",R15="Detectivo"),"Probabilidad",IF(R15="Correctivo","Impacto",""))</f>
        <v>Probabilidad</v>
      </c>
      <c r="R15" s="76" t="s">
        <v>145</v>
      </c>
      <c r="S15" s="76" t="s">
        <v>146</v>
      </c>
      <c r="T15" s="26" t="str">
        <f>IF(AND(R15="Preventivo",S15="Automático"),"50%",IF(AND(R15="Preventivo",S15="Manual"),"40%",IF(AND(R15="Detectivo",S15="Automático"),"40%",IF(AND(R15="Detectivo",S15="Manual"),"30%",IF(AND(R15="Correctivo",S15="Automático"),"35%",IF(AND(R15="Correctivo",S15="Manual"),"25%",""))))))</f>
        <v>40%</v>
      </c>
      <c r="U15" s="76" t="s">
        <v>147</v>
      </c>
      <c r="V15" s="76" t="s">
        <v>148</v>
      </c>
      <c r="W15" s="76" t="s">
        <v>149</v>
      </c>
      <c r="X15" s="83" t="s">
        <v>150</v>
      </c>
      <c r="Y15" s="78">
        <f>IFERROR(IF(Q15="Probabilidad",(K15-(+K15*T15)),IF(Q15="Impacto",K15,"")),"")</f>
        <v>0.48</v>
      </c>
      <c r="Z15" s="28" t="str">
        <f t="shared" ref="Z15:Z26" si="0">IFERROR(IF(Y15="","",IF(Y15&lt;=0.2,"Muy Baja",IF(Y15&lt;=0.4,"Baja",IF(Y15&lt;=0.6,"Media",IF(Y15&lt;=0.8,"Alta","Muy Alta"))))),"")</f>
        <v>Media</v>
      </c>
      <c r="AA15" s="26">
        <f>+Y15</f>
        <v>0.48</v>
      </c>
      <c r="AB15" s="28" t="str">
        <f>IFERROR(IF(AC15="","",IF(AC15&lt;=0.2,"Leve",IF(AC15&lt;=0.4,"Menor",IF(AC15&lt;=0.6,"Moderado",IF(AC15&lt;=0.8,"Mayor","Catastrófico"))))),"")</f>
        <v>Mayor</v>
      </c>
      <c r="AC15" s="26">
        <f>IFERROR(IF(Q15="Impacto",(M15-(+M15*T15)),IF(Q15="Probabilidad",M15,"")),"")</f>
        <v>0.8</v>
      </c>
      <c r="AD15" s="271" t="str">
        <f>IFERROR(IF(AE15=0,"",IF(AND(AE15&gt;0,AE15&lt;=0.2),"Muy Baja",IF(AE15&lt;=0.4,"Baja",IF(AE15&lt;=0.6,"Media",IF(AE15&lt;=0.8,"Alta","Muy Alta"))))),"")</f>
        <v>Muy Baja</v>
      </c>
      <c r="AE15" s="276">
        <f>MIN(Y15:Y26)</f>
        <v>2.0316635135999993E-3</v>
      </c>
      <c r="AF15" s="271" t="str">
        <f>IFERROR(IF(AG15=0,"",IF(AND(AG15&gt;0,AG15&lt;=0.2),"Leve",IF(AG15&lt;=0.4,"Menor",IF(AG15&lt;=0.6,"Moderado",IF(AG15&lt;=0.8,"Mayor","Catastrófico"))))),"")</f>
        <v>Mayor</v>
      </c>
      <c r="AG15" s="276">
        <f>MIN(AC15:AC26)</f>
        <v>0.8</v>
      </c>
      <c r="AH15" s="265"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Alto</v>
      </c>
      <c r="AI15" s="267" t="s">
        <v>151</v>
      </c>
      <c r="AJ15" s="284"/>
      <c r="AK15" s="284" t="s">
        <v>601</v>
      </c>
      <c r="AL15" s="284" t="s">
        <v>602</v>
      </c>
      <c r="AM15" s="284" t="s">
        <v>651</v>
      </c>
      <c r="AN15" s="286" t="s">
        <v>652</v>
      </c>
      <c r="AO15" s="284" t="s">
        <v>152</v>
      </c>
      <c r="AP15" s="398"/>
      <c r="AQ15" s="284" t="s">
        <v>152</v>
      </c>
      <c r="AR15" s="284"/>
      <c r="AS15" s="61"/>
      <c r="AT15" s="61"/>
      <c r="AU15" s="61"/>
      <c r="AV15" s="61"/>
      <c r="AW15" s="61"/>
      <c r="AX15" s="61"/>
      <c r="AY15" s="61"/>
      <c r="AZ15" s="61"/>
      <c r="BA15" s="61"/>
      <c r="BB15" s="61"/>
      <c r="BC15" s="61"/>
      <c r="BD15" s="61"/>
      <c r="BE15" s="61"/>
      <c r="BF15" s="61"/>
    </row>
    <row r="16" spans="1:58" ht="118.2" customHeight="1" x14ac:dyDescent="0.25">
      <c r="A16" s="303"/>
      <c r="B16" s="304"/>
      <c r="C16" s="304"/>
      <c r="D16" s="270"/>
      <c r="E16" s="270"/>
      <c r="F16" s="270"/>
      <c r="G16" s="301"/>
      <c r="H16" s="302"/>
      <c r="I16" s="270"/>
      <c r="J16" s="272"/>
      <c r="K16" s="307"/>
      <c r="L16" s="272"/>
      <c r="M16" s="307"/>
      <c r="N16" s="308"/>
      <c r="O16" s="25">
        <v>1.2</v>
      </c>
      <c r="P16" s="85" t="s">
        <v>153</v>
      </c>
      <c r="Q16" s="25" t="str">
        <f t="shared" ref="Q16:Q26" si="1">IF(OR(R16="Preventivo",R16="Detectivo"),"Probabilidad",IF(R16="Correctivo","Impacto",""))</f>
        <v>Probabilidad</v>
      </c>
      <c r="R16" s="76" t="s">
        <v>154</v>
      </c>
      <c r="S16" s="76" t="s">
        <v>146</v>
      </c>
      <c r="T16" s="26" t="str">
        <f t="shared" ref="T16:T26" si="2">IF(AND(R16="Preventivo",S16="Automático"),"50%",IF(AND(R16="Preventivo",S16="Manual"),"40%",IF(AND(R16="Detectivo",S16="Automático"),"40%",IF(AND(R16="Detectivo",S16="Manual"),"30%",IF(AND(R16="Correctivo",S16="Automático"),"35%",IF(AND(R16="Correctivo",S16="Manual"),"25%",""))))))</f>
        <v>30%</v>
      </c>
      <c r="U16" s="76" t="s">
        <v>155</v>
      </c>
      <c r="V16" s="76" t="s">
        <v>156</v>
      </c>
      <c r="W16" s="76" t="s">
        <v>149</v>
      </c>
      <c r="X16" s="83" t="s">
        <v>157</v>
      </c>
      <c r="Y16" s="78">
        <f>IFERROR(IF(AND(Q15="Probabilidad",Q16="Probabilidad"),(AA15-(+AA15*T16)),IF(Q16="Probabilidad",(K15-(+K15*T16)),IF(Q16="Impacto",AA15,""))),"")</f>
        <v>0.33599999999999997</v>
      </c>
      <c r="Z16" s="28" t="str">
        <f t="shared" si="0"/>
        <v>Baja</v>
      </c>
      <c r="AA16" s="26">
        <f t="shared" ref="AA16:AA26" si="3">+Y16</f>
        <v>0.33599999999999997</v>
      </c>
      <c r="AB16" s="28" t="str">
        <f t="shared" ref="AB16:AB26" si="4">IFERROR(IF(AC16="","",IF(AC16&lt;=0.2,"Leve",IF(AC16&lt;=0.4,"Menor",IF(AC16&lt;=0.6,"Moderado",IF(AC16&lt;=0.8,"Mayor","Catastrófico"))))),"")</f>
        <v>Mayor</v>
      </c>
      <c r="AC16" s="26">
        <f>IFERROR(IF(AND(Q15="Impacto",Q16="Impacto"),(AC15-(+AC15*T16)),IF(Q16="Impacto",(#REF!-(+#REF!*T16)),IF(Q16="Probabilidad",AC15,""))),"")</f>
        <v>0.8</v>
      </c>
      <c r="AD16" s="272"/>
      <c r="AE16" s="277"/>
      <c r="AF16" s="272"/>
      <c r="AG16" s="277"/>
      <c r="AH16" s="266"/>
      <c r="AI16" s="268"/>
      <c r="AJ16" s="285"/>
      <c r="AK16" s="285"/>
      <c r="AL16" s="284"/>
      <c r="AM16" s="285"/>
      <c r="AN16" s="285"/>
      <c r="AO16" s="285"/>
      <c r="AP16" s="398"/>
      <c r="AQ16" s="285"/>
      <c r="AR16" s="285"/>
      <c r="AS16" s="61"/>
      <c r="AT16" s="61"/>
      <c r="AU16" s="61"/>
      <c r="AV16" s="61"/>
      <c r="AW16" s="61"/>
      <c r="AX16" s="61"/>
      <c r="AY16" s="61"/>
      <c r="AZ16" s="61"/>
      <c r="BA16" s="61"/>
      <c r="BB16" s="61"/>
      <c r="BC16" s="61"/>
      <c r="BD16" s="61"/>
      <c r="BE16" s="61"/>
      <c r="BF16" s="61"/>
    </row>
    <row r="17" spans="1:62" ht="192" customHeight="1" x14ac:dyDescent="0.25">
      <c r="A17" s="303"/>
      <c r="B17" s="304"/>
      <c r="C17" s="304"/>
      <c r="D17" s="270"/>
      <c r="E17" s="270"/>
      <c r="F17" s="270"/>
      <c r="G17" s="301"/>
      <c r="H17" s="300" t="s">
        <v>158</v>
      </c>
      <c r="I17" s="270"/>
      <c r="J17" s="272"/>
      <c r="K17" s="307"/>
      <c r="L17" s="272"/>
      <c r="M17" s="307"/>
      <c r="N17" s="308"/>
      <c r="O17" s="25">
        <v>2.1</v>
      </c>
      <c r="P17" s="85" t="s">
        <v>159</v>
      </c>
      <c r="Q17" s="25" t="str">
        <f t="shared" si="1"/>
        <v>Probabilidad</v>
      </c>
      <c r="R17" s="76" t="s">
        <v>145</v>
      </c>
      <c r="S17" s="76" t="s">
        <v>146</v>
      </c>
      <c r="T17" s="26" t="str">
        <f t="shared" si="2"/>
        <v>40%</v>
      </c>
      <c r="U17" s="76" t="s">
        <v>147</v>
      </c>
      <c r="V17" s="76" t="s">
        <v>156</v>
      </c>
      <c r="W17" s="76" t="s">
        <v>149</v>
      </c>
      <c r="X17" s="83" t="s">
        <v>160</v>
      </c>
      <c r="Y17" s="78">
        <f>IFERROR(IF(AND(Q16="Probabilidad",Q17="Probabilidad"),(AA16-(+AA16*T17)),IF(AND(Q16="Impacto",Q17="Probabilidad"),(AA15-(+AA15*T17)),IF(Q17="Impacto",AA16,""))),"")</f>
        <v>0.20159999999999997</v>
      </c>
      <c r="Z17" s="28" t="str">
        <f t="shared" si="0"/>
        <v>Baja</v>
      </c>
      <c r="AA17" s="26">
        <f t="shared" si="3"/>
        <v>0.20159999999999997</v>
      </c>
      <c r="AB17" s="28" t="str">
        <f t="shared" si="4"/>
        <v>Mayor</v>
      </c>
      <c r="AC17" s="26">
        <f>IFERROR(IF(AND(Q16="Impacto",Q17="Impacto"),(AC16-(+AC16*T17)),IF(AND(Q16="Probabilidad",Q17="Impacto"),(AC15-(+AC15*T17)),IF(Q17="Probabilidad",AC16,""))),"")</f>
        <v>0.8</v>
      </c>
      <c r="AD17" s="272"/>
      <c r="AE17" s="277"/>
      <c r="AF17" s="272"/>
      <c r="AG17" s="277"/>
      <c r="AH17" s="266"/>
      <c r="AI17" s="268"/>
      <c r="AJ17" s="285"/>
      <c r="AK17" s="285"/>
      <c r="AL17" s="284"/>
      <c r="AM17" s="285"/>
      <c r="AN17" s="285"/>
      <c r="AO17" s="285"/>
      <c r="AP17" s="398"/>
      <c r="AQ17" s="285"/>
      <c r="AR17" s="285"/>
      <c r="AS17" s="61"/>
      <c r="AT17" s="61"/>
      <c r="AU17" s="61"/>
      <c r="AV17" s="61"/>
      <c r="AW17" s="61"/>
      <c r="AX17" s="61"/>
      <c r="AY17" s="61"/>
      <c r="AZ17" s="61"/>
      <c r="BA17" s="61"/>
      <c r="BB17" s="61"/>
      <c r="BC17" s="61"/>
      <c r="BD17" s="61"/>
      <c r="BE17" s="61"/>
      <c r="BF17" s="61"/>
    </row>
    <row r="18" spans="1:62" ht="165" customHeight="1" x14ac:dyDescent="0.25">
      <c r="A18" s="303"/>
      <c r="B18" s="304"/>
      <c r="C18" s="304"/>
      <c r="D18" s="270"/>
      <c r="E18" s="270"/>
      <c r="F18" s="270"/>
      <c r="G18" s="301"/>
      <c r="H18" s="301"/>
      <c r="I18" s="270"/>
      <c r="J18" s="272"/>
      <c r="K18" s="307"/>
      <c r="L18" s="272"/>
      <c r="M18" s="307"/>
      <c r="N18" s="308"/>
      <c r="O18" s="25">
        <v>2.2000000000000002</v>
      </c>
      <c r="P18" s="85" t="s">
        <v>161</v>
      </c>
      <c r="Q18" s="25" t="str">
        <f t="shared" si="1"/>
        <v>Probabilidad</v>
      </c>
      <c r="R18" s="76" t="s">
        <v>145</v>
      </c>
      <c r="S18" s="76" t="s">
        <v>146</v>
      </c>
      <c r="T18" s="26" t="str">
        <f t="shared" si="2"/>
        <v>40%</v>
      </c>
      <c r="U18" s="76" t="s">
        <v>147</v>
      </c>
      <c r="V18" s="76" t="s">
        <v>156</v>
      </c>
      <c r="W18" s="76" t="s">
        <v>149</v>
      </c>
      <c r="X18" s="83" t="s">
        <v>162</v>
      </c>
      <c r="Y18" s="78">
        <f>IFERROR(IF(AND(Q17="Probabilidad",Q18="Probabilidad"),(AA17-(+AA17*T18)),IF(AND(Q17="Impacto",Q18="Probabilidad"),(AA16-(+AA16*T18)),IF(Q18="Impacto",AA17,""))),"")</f>
        <v>0.12095999999999998</v>
      </c>
      <c r="Z18" s="28" t="str">
        <f t="shared" si="0"/>
        <v>Muy Baja</v>
      </c>
      <c r="AA18" s="26">
        <f t="shared" si="3"/>
        <v>0.12095999999999998</v>
      </c>
      <c r="AB18" s="28" t="str">
        <f t="shared" si="4"/>
        <v>Mayor</v>
      </c>
      <c r="AC18" s="26">
        <f>IFERROR(IF(AND(Q17="Impacto",Q18="Impacto"),(AC17-(+AC17*T18)),IF(AND(Q17="Probabilidad",Q18="Impacto"),(AC16-(+AC16*T18)),IF(Q18="Probabilidad",AC17,""))),"")</f>
        <v>0.8</v>
      </c>
      <c r="AD18" s="272"/>
      <c r="AE18" s="277"/>
      <c r="AF18" s="272"/>
      <c r="AG18" s="277"/>
      <c r="AH18" s="266"/>
      <c r="AI18" s="268"/>
      <c r="AJ18" s="285"/>
      <c r="AK18" s="285"/>
      <c r="AL18" s="284"/>
      <c r="AM18" s="285"/>
      <c r="AN18" s="285"/>
      <c r="AO18" s="285"/>
      <c r="AP18" s="398"/>
      <c r="AQ18" s="285"/>
      <c r="AR18" s="285"/>
      <c r="AS18" s="61"/>
      <c r="AT18" s="61"/>
      <c r="AU18" s="61"/>
      <c r="AV18" s="61"/>
      <c r="AW18" s="61"/>
      <c r="AX18" s="61"/>
      <c r="AY18" s="61"/>
      <c r="AZ18" s="61"/>
      <c r="BA18" s="61"/>
      <c r="BB18" s="61"/>
      <c r="BC18" s="61"/>
      <c r="BD18" s="61"/>
      <c r="BE18" s="61"/>
      <c r="BF18" s="61"/>
    </row>
    <row r="19" spans="1:62" ht="138" customHeight="1" x14ac:dyDescent="0.25">
      <c r="A19" s="303"/>
      <c r="B19" s="304"/>
      <c r="C19" s="304"/>
      <c r="D19" s="270"/>
      <c r="E19" s="270"/>
      <c r="F19" s="270"/>
      <c r="G19" s="301"/>
      <c r="H19" s="302"/>
      <c r="I19" s="270"/>
      <c r="J19" s="272"/>
      <c r="K19" s="307"/>
      <c r="L19" s="272"/>
      <c r="M19" s="307"/>
      <c r="N19" s="308"/>
      <c r="O19" s="25">
        <v>2.2999999999999998</v>
      </c>
      <c r="P19" s="85" t="s">
        <v>163</v>
      </c>
      <c r="Q19" s="25" t="str">
        <f t="shared" si="1"/>
        <v>Probabilidad</v>
      </c>
      <c r="R19" s="76" t="s">
        <v>145</v>
      </c>
      <c r="S19" s="76" t="s">
        <v>146</v>
      </c>
      <c r="T19" s="26" t="str">
        <f t="shared" si="2"/>
        <v>40%</v>
      </c>
      <c r="U19" s="76" t="s">
        <v>147</v>
      </c>
      <c r="V19" s="76" t="s">
        <v>148</v>
      </c>
      <c r="W19" s="76" t="s">
        <v>149</v>
      </c>
      <c r="X19" s="83" t="s">
        <v>164</v>
      </c>
      <c r="Y19" s="78">
        <f t="shared" ref="Y19:Y21" si="5">IFERROR(IF(AND(Q18="Probabilidad",Q19="Probabilidad"),(AA18-(+AA18*T19)),IF(AND(Q18="Impacto",Q19="Probabilidad"),(AA17-(+AA17*T19)),IF(Q19="Impacto",AA18,""))),"")</f>
        <v>7.2575999999999988E-2</v>
      </c>
      <c r="Z19" s="28" t="str">
        <f t="shared" si="0"/>
        <v>Muy Baja</v>
      </c>
      <c r="AA19" s="26">
        <f t="shared" si="3"/>
        <v>7.2575999999999988E-2</v>
      </c>
      <c r="AB19" s="28" t="str">
        <f t="shared" si="4"/>
        <v>Mayor</v>
      </c>
      <c r="AC19" s="26">
        <f t="shared" ref="AC19:AC21" si="6">IFERROR(IF(AND(Q18="Impacto",Q19="Impacto"),(AC18-(+AC18*T19)),IF(AND(Q18="Probabilidad",Q19="Impacto"),(AC17-(+AC17*T19)),IF(Q19="Probabilidad",AC18,""))),"")</f>
        <v>0.8</v>
      </c>
      <c r="AD19" s="272"/>
      <c r="AE19" s="277"/>
      <c r="AF19" s="272"/>
      <c r="AG19" s="277"/>
      <c r="AH19" s="266"/>
      <c r="AI19" s="268"/>
      <c r="AJ19" s="285"/>
      <c r="AK19" s="285"/>
      <c r="AL19" s="284"/>
      <c r="AM19" s="285"/>
      <c r="AN19" s="285"/>
      <c r="AO19" s="285"/>
      <c r="AP19" s="398"/>
      <c r="AQ19" s="285"/>
      <c r="AR19" s="285"/>
      <c r="AS19" s="61"/>
      <c r="AT19" s="61"/>
      <c r="AU19" s="61"/>
      <c r="AV19" s="61"/>
      <c r="AW19" s="61"/>
      <c r="AX19" s="61"/>
      <c r="AY19" s="61"/>
      <c r="AZ19" s="61"/>
      <c r="BA19" s="61"/>
      <c r="BB19" s="61"/>
      <c r="BC19" s="61"/>
      <c r="BD19" s="61"/>
      <c r="BE19" s="61"/>
      <c r="BF19" s="61"/>
    </row>
    <row r="20" spans="1:62" ht="145.94999999999999" customHeight="1" x14ac:dyDescent="0.25">
      <c r="A20" s="303"/>
      <c r="B20" s="304"/>
      <c r="C20" s="304"/>
      <c r="D20" s="270"/>
      <c r="E20" s="270"/>
      <c r="F20" s="270"/>
      <c r="G20" s="301"/>
      <c r="H20" s="107" t="s">
        <v>165</v>
      </c>
      <c r="I20" s="270"/>
      <c r="J20" s="272"/>
      <c r="K20" s="307"/>
      <c r="L20" s="272"/>
      <c r="M20" s="307"/>
      <c r="N20" s="308"/>
      <c r="O20" s="25">
        <v>3</v>
      </c>
      <c r="P20" s="85" t="s">
        <v>166</v>
      </c>
      <c r="Q20" s="25" t="str">
        <f t="shared" si="1"/>
        <v>Probabilidad</v>
      </c>
      <c r="R20" s="76" t="s">
        <v>145</v>
      </c>
      <c r="S20" s="76" t="s">
        <v>146</v>
      </c>
      <c r="T20" s="26" t="str">
        <f t="shared" si="2"/>
        <v>40%</v>
      </c>
      <c r="U20" s="76" t="s">
        <v>155</v>
      </c>
      <c r="V20" s="76" t="s">
        <v>156</v>
      </c>
      <c r="W20" s="76" t="s">
        <v>149</v>
      </c>
      <c r="X20" s="83" t="s">
        <v>167</v>
      </c>
      <c r="Y20" s="78">
        <f t="shared" si="5"/>
        <v>4.354559999999999E-2</v>
      </c>
      <c r="Z20" s="28" t="str">
        <f t="shared" si="0"/>
        <v>Muy Baja</v>
      </c>
      <c r="AA20" s="26">
        <f t="shared" si="3"/>
        <v>4.354559999999999E-2</v>
      </c>
      <c r="AB20" s="28" t="str">
        <f t="shared" si="4"/>
        <v>Mayor</v>
      </c>
      <c r="AC20" s="26">
        <f t="shared" si="6"/>
        <v>0.8</v>
      </c>
      <c r="AD20" s="272"/>
      <c r="AE20" s="277"/>
      <c r="AF20" s="272"/>
      <c r="AG20" s="277"/>
      <c r="AH20" s="266"/>
      <c r="AI20" s="268"/>
      <c r="AJ20" s="285"/>
      <c r="AK20" s="285"/>
      <c r="AL20" s="284"/>
      <c r="AM20" s="285"/>
      <c r="AN20" s="285"/>
      <c r="AO20" s="285"/>
      <c r="AP20" s="398"/>
      <c r="AQ20" s="285"/>
      <c r="AR20" s="285"/>
      <c r="AS20" s="61"/>
      <c r="AT20" s="61"/>
      <c r="AU20" s="61"/>
      <c r="AV20" s="61"/>
      <c r="AW20" s="61"/>
      <c r="AX20" s="61"/>
      <c r="AY20" s="61"/>
      <c r="AZ20" s="61"/>
      <c r="BA20" s="61"/>
      <c r="BB20" s="61"/>
      <c r="BC20" s="61"/>
      <c r="BD20" s="61"/>
      <c r="BE20" s="61"/>
      <c r="BF20" s="61"/>
    </row>
    <row r="21" spans="1:62" ht="76.2" customHeight="1" x14ac:dyDescent="0.25">
      <c r="A21" s="303"/>
      <c r="B21" s="304"/>
      <c r="C21" s="304"/>
      <c r="D21" s="270"/>
      <c r="E21" s="270"/>
      <c r="F21" s="270"/>
      <c r="G21" s="301"/>
      <c r="H21" s="87" t="s">
        <v>650</v>
      </c>
      <c r="I21" s="270"/>
      <c r="J21" s="272"/>
      <c r="K21" s="307"/>
      <c r="L21" s="272"/>
      <c r="M21" s="307"/>
      <c r="N21" s="308"/>
      <c r="O21" s="25">
        <v>4</v>
      </c>
      <c r="P21" s="92" t="s">
        <v>168</v>
      </c>
      <c r="Q21" s="25" t="str">
        <f t="shared" si="1"/>
        <v>Probabilidad</v>
      </c>
      <c r="R21" s="76" t="s">
        <v>145</v>
      </c>
      <c r="S21" s="76" t="s">
        <v>146</v>
      </c>
      <c r="T21" s="26" t="str">
        <f t="shared" si="2"/>
        <v>40%</v>
      </c>
      <c r="U21" s="76" t="s">
        <v>155</v>
      </c>
      <c r="V21" s="76" t="s">
        <v>156</v>
      </c>
      <c r="W21" s="76" t="s">
        <v>149</v>
      </c>
      <c r="X21" s="25" t="s">
        <v>169</v>
      </c>
      <c r="Y21" s="78">
        <f t="shared" si="5"/>
        <v>2.6127359999999992E-2</v>
      </c>
      <c r="Z21" s="28" t="str">
        <f t="shared" si="0"/>
        <v>Muy Baja</v>
      </c>
      <c r="AA21" s="26">
        <f t="shared" si="3"/>
        <v>2.6127359999999992E-2</v>
      </c>
      <c r="AB21" s="28" t="str">
        <f t="shared" si="4"/>
        <v>Mayor</v>
      </c>
      <c r="AC21" s="26">
        <f t="shared" si="6"/>
        <v>0.8</v>
      </c>
      <c r="AD21" s="272"/>
      <c r="AE21" s="277"/>
      <c r="AF21" s="272"/>
      <c r="AG21" s="277"/>
      <c r="AH21" s="266"/>
      <c r="AI21" s="268"/>
      <c r="AJ21" s="285"/>
      <c r="AK21" s="285"/>
      <c r="AL21" s="284"/>
      <c r="AM21" s="285"/>
      <c r="AN21" s="285"/>
      <c r="AO21" s="285"/>
      <c r="AP21" s="398"/>
      <c r="AQ21" s="285"/>
      <c r="AR21" s="285"/>
      <c r="AS21" s="61"/>
      <c r="AT21" s="61"/>
      <c r="AU21" s="61"/>
      <c r="AV21" s="61"/>
      <c r="AW21" s="61"/>
      <c r="AX21" s="61"/>
      <c r="AY21" s="61"/>
      <c r="AZ21" s="61"/>
      <c r="BA21" s="61"/>
      <c r="BB21" s="61"/>
      <c r="BC21" s="61"/>
      <c r="BD21" s="61"/>
      <c r="BE21" s="61"/>
      <c r="BF21" s="61"/>
    </row>
    <row r="22" spans="1:62" ht="157.19999999999999" customHeight="1" x14ac:dyDescent="0.25">
      <c r="A22" s="303"/>
      <c r="B22" s="304"/>
      <c r="C22" s="304"/>
      <c r="D22" s="270"/>
      <c r="E22" s="270"/>
      <c r="F22" s="270"/>
      <c r="G22" s="301"/>
      <c r="H22" s="96" t="s">
        <v>170</v>
      </c>
      <c r="I22" s="270"/>
      <c r="J22" s="272"/>
      <c r="K22" s="307"/>
      <c r="L22" s="272"/>
      <c r="M22" s="307"/>
      <c r="N22" s="308"/>
      <c r="O22" s="25">
        <v>5</v>
      </c>
      <c r="P22" s="108" t="s">
        <v>171</v>
      </c>
      <c r="Q22" s="109" t="str">
        <f t="shared" si="1"/>
        <v>Probabilidad</v>
      </c>
      <c r="R22" s="110" t="s">
        <v>145</v>
      </c>
      <c r="S22" s="110" t="s">
        <v>146</v>
      </c>
      <c r="T22" s="26" t="str">
        <f t="shared" si="2"/>
        <v>40%</v>
      </c>
      <c r="U22" s="110" t="s">
        <v>155</v>
      </c>
      <c r="V22" s="110" t="s">
        <v>156</v>
      </c>
      <c r="W22" s="110" t="s">
        <v>149</v>
      </c>
      <c r="X22" s="111" t="s">
        <v>172</v>
      </c>
      <c r="Y22" s="78">
        <f>IFERROR(IF(AND(Q21="Probabilidad",Q22="Probabilidad"),(AA21-(+AA21*T22)),IF(AND(Q21="Impacto",Q22="Probabilidad"),(#REF!-(+#REF!*T22)),IF(Q22="Impacto",AA21,""))),"")</f>
        <v>1.5676415999999995E-2</v>
      </c>
      <c r="Z22" s="28" t="str">
        <f t="shared" si="0"/>
        <v>Muy Baja</v>
      </c>
      <c r="AA22" s="26">
        <f t="shared" si="3"/>
        <v>1.5676415999999995E-2</v>
      </c>
      <c r="AB22" s="28" t="str">
        <f t="shared" si="4"/>
        <v>Mayor</v>
      </c>
      <c r="AC22" s="26">
        <f>IFERROR(IF(AND(Q21="Impacto",Q22="Impacto"),(AC21-(+AC21*T22)),IF(AND(Q21="Probabilidad",Q22="Impacto"),(#REF!-(+#REF!*T22)),IF(Q22="Probabilidad",AC21,""))),"")</f>
        <v>0.8</v>
      </c>
      <c r="AD22" s="272"/>
      <c r="AE22" s="277"/>
      <c r="AF22" s="272"/>
      <c r="AG22" s="277"/>
      <c r="AH22" s="266"/>
      <c r="AI22" s="268"/>
      <c r="AJ22" s="285"/>
      <c r="AK22" s="285"/>
      <c r="AL22" s="284"/>
      <c r="AM22" s="285"/>
      <c r="AN22" s="285"/>
      <c r="AO22" s="285"/>
      <c r="AP22" s="398"/>
      <c r="AQ22" s="285"/>
      <c r="AR22" s="285"/>
      <c r="AS22" s="61"/>
      <c r="AT22" s="61"/>
      <c r="AU22" s="61"/>
      <c r="AV22" s="61"/>
      <c r="AW22" s="61"/>
      <c r="AX22" s="61"/>
      <c r="AY22" s="61"/>
      <c r="AZ22" s="61"/>
      <c r="BA22" s="61"/>
      <c r="BB22" s="61"/>
      <c r="BC22" s="61"/>
      <c r="BD22" s="61"/>
      <c r="BE22" s="61"/>
      <c r="BF22" s="61"/>
    </row>
    <row r="23" spans="1:62" ht="249" customHeight="1" x14ac:dyDescent="0.25">
      <c r="A23" s="303"/>
      <c r="B23" s="304"/>
      <c r="C23" s="304"/>
      <c r="D23" s="270"/>
      <c r="E23" s="270"/>
      <c r="F23" s="270"/>
      <c r="G23" s="301"/>
      <c r="H23" s="300" t="s">
        <v>173</v>
      </c>
      <c r="I23" s="270"/>
      <c r="J23" s="272"/>
      <c r="K23" s="307"/>
      <c r="L23" s="272"/>
      <c r="M23" s="307"/>
      <c r="N23" s="308"/>
      <c r="O23" s="25" t="s">
        <v>174</v>
      </c>
      <c r="P23" s="75" t="s">
        <v>175</v>
      </c>
      <c r="Q23" s="109" t="str">
        <f t="shared" si="1"/>
        <v>Probabilidad</v>
      </c>
      <c r="R23" s="76" t="s">
        <v>145</v>
      </c>
      <c r="S23" s="76" t="s">
        <v>146</v>
      </c>
      <c r="T23" s="26" t="str">
        <f t="shared" si="2"/>
        <v>40%</v>
      </c>
      <c r="U23" s="76" t="s">
        <v>147</v>
      </c>
      <c r="V23" s="76" t="s">
        <v>148</v>
      </c>
      <c r="W23" s="76" t="s">
        <v>149</v>
      </c>
      <c r="X23" s="83" t="s">
        <v>176</v>
      </c>
      <c r="Y23" s="78">
        <f>IFERROR(IF(AND(Q22="Probabilidad",Q24="Probabilidad"),(AA22-(+AA22*T24)),IF(AND(Q22="Impacto",Q24="Probabilidad"),(#REF!-(+#REF!*T24)),IF(Q24="Impacto",AA22,""))),"")</f>
        <v>9.4058495999999967E-3</v>
      </c>
      <c r="Z23" s="28" t="str">
        <f t="shared" si="0"/>
        <v>Muy Baja</v>
      </c>
      <c r="AA23" s="26">
        <f t="shared" si="3"/>
        <v>9.4058495999999967E-3</v>
      </c>
      <c r="AB23" s="28" t="str">
        <f t="shared" si="4"/>
        <v>Mayor</v>
      </c>
      <c r="AC23" s="26">
        <f>IFERROR(IF(AND(Q22="Impacto",Q24="Impacto"),(AC22-(+AC22*T24)),IF(AND(Q22="Probabilidad",Q24="Impacto"),(#REF!-(+#REF!*T24)),IF(Q24="Probabilidad",AC22,""))),"")</f>
        <v>0.8</v>
      </c>
      <c r="AD23" s="272"/>
      <c r="AE23" s="277"/>
      <c r="AF23" s="272"/>
      <c r="AG23" s="277"/>
      <c r="AH23" s="266"/>
      <c r="AI23" s="268"/>
      <c r="AJ23" s="285"/>
      <c r="AK23" s="285"/>
      <c r="AL23" s="284"/>
      <c r="AM23" s="285"/>
      <c r="AN23" s="285"/>
      <c r="AO23" s="285"/>
      <c r="AP23" s="398"/>
      <c r="AQ23" s="285"/>
      <c r="AR23" s="285"/>
      <c r="AS23" s="61"/>
      <c r="AT23" s="61"/>
      <c r="AU23" s="61"/>
      <c r="AV23" s="61"/>
      <c r="AW23" s="61"/>
      <c r="AX23" s="61"/>
      <c r="AY23" s="61"/>
      <c r="AZ23" s="61"/>
      <c r="BA23" s="61"/>
      <c r="BB23" s="61"/>
      <c r="BC23" s="61"/>
      <c r="BD23" s="61"/>
      <c r="BE23" s="61"/>
      <c r="BF23" s="61"/>
    </row>
    <row r="24" spans="1:62" ht="190.2" customHeight="1" x14ac:dyDescent="0.25">
      <c r="A24" s="303"/>
      <c r="B24" s="304"/>
      <c r="C24" s="304"/>
      <c r="D24" s="270"/>
      <c r="E24" s="270"/>
      <c r="F24" s="270"/>
      <c r="G24" s="301"/>
      <c r="H24" s="301"/>
      <c r="I24" s="270"/>
      <c r="J24" s="272"/>
      <c r="K24" s="307"/>
      <c r="L24" s="272"/>
      <c r="M24" s="307"/>
      <c r="N24" s="308"/>
      <c r="O24" s="25" t="s">
        <v>177</v>
      </c>
      <c r="P24" s="85" t="s">
        <v>178</v>
      </c>
      <c r="Q24" s="109" t="str">
        <f t="shared" si="1"/>
        <v>Probabilidad</v>
      </c>
      <c r="R24" s="76" t="s">
        <v>145</v>
      </c>
      <c r="S24" s="76" t="s">
        <v>146</v>
      </c>
      <c r="T24" s="26" t="str">
        <f t="shared" si="2"/>
        <v>40%</v>
      </c>
      <c r="U24" s="76" t="s">
        <v>155</v>
      </c>
      <c r="V24" s="76" t="s">
        <v>148</v>
      </c>
      <c r="W24" s="76" t="s">
        <v>149</v>
      </c>
      <c r="X24" s="83" t="s">
        <v>176</v>
      </c>
      <c r="Y24" s="78">
        <f>IFERROR(IF(AND(Q23="Probabilidad",Q25="Probabilidad"),(AA23-(+AA23*T25)),IF(AND(Q23="Impacto",Q25="Probabilidad"),(#REF!-(+#REF!*T25)),IF(Q25="Impacto",AA23,""))),"")</f>
        <v>5.6435097599999984E-3</v>
      </c>
      <c r="Z24" s="28" t="str">
        <f t="shared" si="0"/>
        <v>Muy Baja</v>
      </c>
      <c r="AA24" s="26">
        <f t="shared" si="3"/>
        <v>5.6435097599999984E-3</v>
      </c>
      <c r="AB24" s="28" t="str">
        <f t="shared" si="4"/>
        <v>Mayor</v>
      </c>
      <c r="AC24" s="26">
        <f>IFERROR(IF(AND(Q23="Impacto",Q25="Impacto"),(AC23-(+AC23*T25)),IF(AND(Q23="Probabilidad",Q25="Impacto"),(#REF!-(+#REF!*T25)),IF(Q25="Probabilidad",AC23,""))),"")</f>
        <v>0.8</v>
      </c>
      <c r="AD24" s="272"/>
      <c r="AE24" s="277"/>
      <c r="AF24" s="272"/>
      <c r="AG24" s="277"/>
      <c r="AH24" s="266"/>
      <c r="AI24" s="268"/>
      <c r="AJ24" s="285"/>
      <c r="AK24" s="285"/>
      <c r="AL24" s="284"/>
      <c r="AM24" s="285"/>
      <c r="AN24" s="285"/>
      <c r="AO24" s="285"/>
      <c r="AP24" s="398"/>
      <c r="AQ24" s="285"/>
      <c r="AR24" s="285"/>
      <c r="AS24" s="61"/>
      <c r="AT24" s="61"/>
      <c r="AU24" s="61"/>
      <c r="AV24" s="61"/>
      <c r="AW24" s="61"/>
      <c r="AX24" s="61"/>
      <c r="AY24" s="61"/>
      <c r="AZ24" s="61"/>
      <c r="BA24" s="61"/>
      <c r="BB24" s="61"/>
      <c r="BC24" s="61"/>
      <c r="BD24" s="61"/>
      <c r="BE24" s="61"/>
      <c r="BF24" s="61"/>
    </row>
    <row r="25" spans="1:62" ht="142.94999999999999" customHeight="1" x14ac:dyDescent="0.25">
      <c r="A25" s="303"/>
      <c r="B25" s="304"/>
      <c r="C25" s="304"/>
      <c r="D25" s="270"/>
      <c r="E25" s="270"/>
      <c r="F25" s="270"/>
      <c r="G25" s="301"/>
      <c r="H25" s="301"/>
      <c r="I25" s="270"/>
      <c r="J25" s="272"/>
      <c r="K25" s="307"/>
      <c r="L25" s="272"/>
      <c r="M25" s="307"/>
      <c r="N25" s="308"/>
      <c r="O25" s="25" t="s">
        <v>179</v>
      </c>
      <c r="P25" s="75" t="s">
        <v>180</v>
      </c>
      <c r="Q25" s="109" t="str">
        <f t="shared" si="1"/>
        <v>Probabilidad</v>
      </c>
      <c r="R25" s="76" t="s">
        <v>145</v>
      </c>
      <c r="S25" s="76" t="s">
        <v>146</v>
      </c>
      <c r="T25" s="26" t="str">
        <f t="shared" si="2"/>
        <v>40%</v>
      </c>
      <c r="U25" s="76" t="s">
        <v>147</v>
      </c>
      <c r="V25" s="76" t="s">
        <v>156</v>
      </c>
      <c r="W25" s="76" t="s">
        <v>149</v>
      </c>
      <c r="X25" s="83" t="s">
        <v>181</v>
      </c>
      <c r="Y25" s="78">
        <f>IFERROR(IF(AND(Q24="Probabilidad",Q26="Probabilidad"),(AA24-(+AA24*T26)),IF(AND(Q24="Impacto",Q26="Probabilidad"),(#REF!-(+#REF!*T26)),IF(Q26="Impacto",AA24,""))),"")</f>
        <v>3.3861058559999991E-3</v>
      </c>
      <c r="Z25" s="28" t="str">
        <f t="shared" si="0"/>
        <v>Muy Baja</v>
      </c>
      <c r="AA25" s="26">
        <f t="shared" si="3"/>
        <v>3.3861058559999991E-3</v>
      </c>
      <c r="AB25" s="28" t="str">
        <f t="shared" si="4"/>
        <v>Mayor</v>
      </c>
      <c r="AC25" s="26">
        <f>IFERROR(IF(AND(Q24="Impacto",Q26="Impacto"),(AC24-(+AC24*T26)),IF(AND(Q24="Probabilidad",Q26="Impacto"),(#REF!-(+#REF!*T26)),IF(Q26="Probabilidad",AC24,""))),"")</f>
        <v>0.8</v>
      </c>
      <c r="AD25" s="272"/>
      <c r="AE25" s="277"/>
      <c r="AF25" s="272"/>
      <c r="AG25" s="277"/>
      <c r="AH25" s="266"/>
      <c r="AI25" s="268"/>
      <c r="AJ25" s="285"/>
      <c r="AK25" s="285"/>
      <c r="AL25" s="284"/>
      <c r="AM25" s="285"/>
      <c r="AN25" s="285"/>
      <c r="AO25" s="285"/>
      <c r="AP25" s="398"/>
      <c r="AQ25" s="285"/>
      <c r="AR25" s="285"/>
      <c r="AS25" s="61"/>
      <c r="AT25" s="61"/>
      <c r="AU25" s="61"/>
      <c r="AV25" s="61"/>
      <c r="AW25" s="61"/>
      <c r="AX25" s="61"/>
      <c r="AY25" s="61"/>
      <c r="AZ25" s="61"/>
      <c r="BA25" s="61"/>
      <c r="BB25" s="61"/>
      <c r="BC25" s="61"/>
      <c r="BD25" s="61"/>
      <c r="BE25" s="61"/>
      <c r="BF25" s="61"/>
    </row>
    <row r="26" spans="1:62" ht="222" customHeight="1" x14ac:dyDescent="0.25">
      <c r="A26" s="303"/>
      <c r="B26" s="304"/>
      <c r="C26" s="304"/>
      <c r="D26" s="273"/>
      <c r="E26" s="273"/>
      <c r="F26" s="273"/>
      <c r="G26" s="302"/>
      <c r="H26" s="302"/>
      <c r="I26" s="270"/>
      <c r="J26" s="272"/>
      <c r="K26" s="307"/>
      <c r="L26" s="272"/>
      <c r="M26" s="307"/>
      <c r="N26" s="308"/>
      <c r="O26" s="25" t="s">
        <v>182</v>
      </c>
      <c r="P26" s="85" t="s">
        <v>183</v>
      </c>
      <c r="Q26" s="109" t="str">
        <f t="shared" si="1"/>
        <v>Probabilidad</v>
      </c>
      <c r="R26" s="76" t="s">
        <v>145</v>
      </c>
      <c r="S26" s="76" t="s">
        <v>146</v>
      </c>
      <c r="T26" s="26" t="str">
        <f t="shared" si="2"/>
        <v>40%</v>
      </c>
      <c r="U26" s="76" t="s">
        <v>147</v>
      </c>
      <c r="V26" s="76"/>
      <c r="W26" s="76"/>
      <c r="X26" s="83" t="s">
        <v>184</v>
      </c>
      <c r="Y26" s="78">
        <f>IFERROR(IF(AND(Q25="Probabilidad",Q27="Probabilidad"),(AA25-(+AA25*T27)),IF(AND(Q25="Impacto",Q27="Probabilidad"),(#REF!-(+#REF!*T27)),IF(Q27="Impacto",AA25,""))),"")</f>
        <v>2.0316635135999993E-3</v>
      </c>
      <c r="Z26" s="28" t="str">
        <f t="shared" si="0"/>
        <v>Muy Baja</v>
      </c>
      <c r="AA26" s="26">
        <f t="shared" si="3"/>
        <v>2.0316635135999993E-3</v>
      </c>
      <c r="AB26" s="28" t="str">
        <f t="shared" si="4"/>
        <v>Mayor</v>
      </c>
      <c r="AC26" s="26">
        <f>IFERROR(IF(AND(Q25="Impacto",Q27="Impacto"),(AC25-(+AC25*T27)),IF(AND(Q25="Probabilidad",Q27="Impacto"),(#REF!-(+#REF!*T27)),IF(Q27="Probabilidad",AC25,""))),"")</f>
        <v>0.8</v>
      </c>
      <c r="AD26" s="272"/>
      <c r="AE26" s="277"/>
      <c r="AF26" s="272"/>
      <c r="AG26" s="277"/>
      <c r="AH26" s="266"/>
      <c r="AI26" s="268"/>
      <c r="AJ26" s="285"/>
      <c r="AK26" s="285"/>
      <c r="AL26" s="284"/>
      <c r="AM26" s="285"/>
      <c r="AN26" s="285"/>
      <c r="AO26" s="285"/>
      <c r="AP26" s="398"/>
      <c r="AQ26" s="285"/>
      <c r="AR26" s="285"/>
      <c r="AS26" s="61"/>
      <c r="AT26" s="61"/>
      <c r="AU26" s="61"/>
      <c r="AV26" s="61"/>
      <c r="AW26" s="61"/>
      <c r="AX26" s="61"/>
      <c r="AY26" s="61"/>
      <c r="AZ26" s="61"/>
      <c r="BA26" s="61"/>
      <c r="BB26" s="61"/>
      <c r="BC26" s="61"/>
      <c r="BD26" s="61"/>
      <c r="BE26" s="61"/>
      <c r="BF26" s="61"/>
    </row>
    <row r="27" spans="1:62" ht="177.75" customHeight="1" x14ac:dyDescent="0.25">
      <c r="A27" s="267" t="s">
        <v>185</v>
      </c>
      <c r="B27" s="269" t="s">
        <v>186</v>
      </c>
      <c r="C27" s="269" t="s">
        <v>233</v>
      </c>
      <c r="D27" s="269" t="s">
        <v>187</v>
      </c>
      <c r="E27" s="269" t="s">
        <v>188</v>
      </c>
      <c r="F27" s="269" t="s">
        <v>189</v>
      </c>
      <c r="G27" s="300" t="s">
        <v>190</v>
      </c>
      <c r="H27" s="87" t="s">
        <v>191</v>
      </c>
      <c r="I27" s="269" t="s">
        <v>141</v>
      </c>
      <c r="J27" s="271" t="s">
        <v>192</v>
      </c>
      <c r="K27" s="274">
        <f>IF(J27="","",IF(J27="Muy Baja",0.2,IF(J27="Baja",0.4,IF(J27="Media",0.6,IF(J27="Alta",0.8,IF(J27="Muy Alta",1,))))))</f>
        <v>0.6</v>
      </c>
      <c r="L27" s="271" t="s">
        <v>193</v>
      </c>
      <c r="M27" s="274">
        <f>IF(L27="","",IF(L27="Leve",0.2,IF(L27="Menor",0.4,IF(L27="Moderado",0.6,IF(L27="Mayor",0.8,IF(L27="Catastrófico",1,))))))</f>
        <v>0.6</v>
      </c>
      <c r="N27" s="265"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Moderado</v>
      </c>
      <c r="O27" s="25">
        <v>1</v>
      </c>
      <c r="P27" s="85" t="s">
        <v>194</v>
      </c>
      <c r="Q27" s="25" t="s">
        <v>195</v>
      </c>
      <c r="R27" s="76" t="s">
        <v>145</v>
      </c>
      <c r="S27" s="76" t="s">
        <v>146</v>
      </c>
      <c r="T27" s="26" t="str">
        <f>IF(AND(R27="Preventivo",S27="Automático"),"50%",IF(AND(R27="Preventivo",S27="Manual"),"40%",IF(AND(R27="Detectivo",S27="Automático"),"40%",IF(AND(R27="Detectivo",S27="Manual"),"30%",IF(AND(R27="Correctivo",S27="Automático"),"35%",IF(AND(R27="Correctivo",S27="Manual"),"25%",""))))))</f>
        <v>40%</v>
      </c>
      <c r="U27" s="76" t="s">
        <v>155</v>
      </c>
      <c r="V27" s="76" t="s">
        <v>156</v>
      </c>
      <c r="W27" s="76" t="s">
        <v>149</v>
      </c>
      <c r="X27" s="100" t="s">
        <v>196</v>
      </c>
      <c r="Y27" s="78">
        <f>IFERROR(IF(Q27="Probabilidad",(K27-(+K27*T27)),IF(Q27="Impacto",K27,"")),"")</f>
        <v>0.36</v>
      </c>
      <c r="Z27" s="28" t="str">
        <f>IFERROR(IF(Y27="","",IF(Y27&lt;=0.2,"Muy Baja",IF(Y27&lt;=0.4,"Baja",IF(Y27&lt;=0.6,"Media",IF(Y27&lt;=0.8,"Alta","Muy Alta"))))),"")</f>
        <v>Baja</v>
      </c>
      <c r="AA27" s="26">
        <f>+Y27</f>
        <v>0.36</v>
      </c>
      <c r="AB27" s="28" t="str">
        <f>IFERROR(IF(AC27="","",IF(AC27&lt;=0.2,"Leve",IF(AC27&lt;=0.4,"Menor",IF(AC27&lt;=0.6,"Moderado",IF(AC27&lt;=0.8,"Mayor","Catastrófico"))))),"")</f>
        <v>Moderado</v>
      </c>
      <c r="AC27" s="26">
        <f>IFERROR(IF(Q27="Impacto",(M27-(+M27*T27)),IF(Q27="Probabilidad",M27,"")),"")</f>
        <v>0.6</v>
      </c>
      <c r="AD27" s="271" t="str">
        <f t="shared" ref="AD27" si="7">IFERROR(IF(AE27=0,"",IF(AND(AE27&gt;0,AE27&lt;=0.2),"Muy Baja",IF(AE27&lt;=0.4,"Baja",IF(AE27&lt;=0.6,"Media",IF(AE27&lt;=0.8,"Alta","Muy Alta"))))),"")</f>
        <v>Muy Baja</v>
      </c>
      <c r="AE27" s="276">
        <f>MIN(Y27:Y31)</f>
        <v>7.7759999999999996E-2</v>
      </c>
      <c r="AF27" s="271" t="str">
        <f t="shared" ref="AF27" si="8">IFERROR(IF(AG27=0,"",IF(AND(AG27&gt;0,AG27&lt;=0.2),"Leve",IF(AG27&lt;=0.4,"Menor",IF(AG27&lt;=0.6,"Moderado",IF(AG27&lt;=0.8,"Mayor","Catastrófico"))))),"")</f>
        <v>Moderado</v>
      </c>
      <c r="AG27" s="276">
        <f>MIN(AC27:AC31)</f>
        <v>0.44999999999999996</v>
      </c>
      <c r="AH27" s="265" t="str">
        <f t="shared" ref="AH27" si="9">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Moderado</v>
      </c>
      <c r="AI27" s="267" t="s">
        <v>151</v>
      </c>
      <c r="AJ27" s="323"/>
      <c r="AK27" s="284" t="s">
        <v>197</v>
      </c>
      <c r="AL27" s="284" t="s">
        <v>198</v>
      </c>
      <c r="AM27" s="394" t="s">
        <v>653</v>
      </c>
      <c r="AN27" s="394" t="s">
        <v>654</v>
      </c>
      <c r="AO27" s="284" t="s">
        <v>152</v>
      </c>
      <c r="AP27" s="284"/>
      <c r="AQ27" s="284" t="s">
        <v>152</v>
      </c>
      <c r="AR27" s="284"/>
      <c r="AS27" s="61"/>
      <c r="AT27" s="61"/>
      <c r="AU27" s="61"/>
      <c r="AV27" s="61"/>
      <c r="AW27" s="61"/>
      <c r="AX27" s="61"/>
      <c r="AY27" s="61"/>
      <c r="AZ27" s="61"/>
      <c r="BA27" s="61"/>
      <c r="BB27" s="61"/>
    </row>
    <row r="28" spans="1:62" ht="153" customHeight="1" x14ac:dyDescent="0.25">
      <c r="A28" s="268"/>
      <c r="B28" s="270"/>
      <c r="C28" s="270"/>
      <c r="D28" s="270"/>
      <c r="E28" s="270"/>
      <c r="F28" s="270"/>
      <c r="G28" s="301"/>
      <c r="H28" s="87" t="s">
        <v>199</v>
      </c>
      <c r="I28" s="270"/>
      <c r="J28" s="272"/>
      <c r="K28" s="275"/>
      <c r="L28" s="272"/>
      <c r="M28" s="275"/>
      <c r="N28" s="266"/>
      <c r="O28" s="25">
        <v>2</v>
      </c>
      <c r="P28" s="85" t="s">
        <v>200</v>
      </c>
      <c r="Q28" s="25" t="s">
        <v>195</v>
      </c>
      <c r="R28" s="76" t="s">
        <v>145</v>
      </c>
      <c r="S28" s="76" t="s">
        <v>146</v>
      </c>
      <c r="T28" s="26" t="str">
        <f t="shared" ref="T28:T46" si="10">IF(AND(R28="Preventivo",S28="Automático"),"50%",IF(AND(R28="Preventivo",S28="Manual"),"40%",IF(AND(R28="Detectivo",S28="Automático"),"40%",IF(AND(R28="Detectivo",S28="Manual"),"30%",IF(AND(R28="Correctivo",S28="Automático"),"35%",IF(AND(R28="Correctivo",S28="Manual"),"25%",""))))))</f>
        <v>40%</v>
      </c>
      <c r="U28" s="76" t="s">
        <v>155</v>
      </c>
      <c r="V28" s="76" t="s">
        <v>156</v>
      </c>
      <c r="W28" s="76" t="s">
        <v>149</v>
      </c>
      <c r="X28" s="75" t="s">
        <v>201</v>
      </c>
      <c r="Y28" s="78">
        <f>IFERROR(IF(AND(Q27="Probabilidad",Q28="Probabilidad"),(AA27-(+AA27*T28)),IF(Q28="Probabilidad",(K27-(+K27*T28)),IF(Q28="Impacto",AA27,""))),"")</f>
        <v>0.216</v>
      </c>
      <c r="Z28" s="28" t="str">
        <f>IFERROR(IF(Y28="","",IF(Y28&lt;=0.2,"Muy Baja",IF(Y28&lt;=0.4,"Baja",IF(Y28&lt;=0.6,"Media",IF(Y28&lt;=0.8,"Alta","Muy Alta"))))),"")</f>
        <v>Baja</v>
      </c>
      <c r="AA28" s="26">
        <f t="shared" ref="AA28:AA29" si="11">+Y28</f>
        <v>0.216</v>
      </c>
      <c r="AB28" s="28" t="str">
        <f t="shared" ref="AB28:AB29" si="12">IFERROR(IF(AC28="","",IF(AC28&lt;=0.2,"Leve",IF(AC28&lt;=0.4,"Menor",IF(AC28&lt;=0.6,"Moderado",IF(AC28&lt;=0.8,"Mayor","Catastrófico"))))),"")</f>
        <v>Moderado</v>
      </c>
      <c r="AC28" s="26">
        <f>IFERROR(IF(AND(Q27="Impacto",Q28="Impacto"),(AC27-(+AC27*T28)),IF(Q28="Impacto",(#REF!-(+#REF!*T28)),IF(Q28="Probabilidad",AC27,""))),"")</f>
        <v>0.6</v>
      </c>
      <c r="AD28" s="272"/>
      <c r="AE28" s="277"/>
      <c r="AF28" s="272"/>
      <c r="AG28" s="277"/>
      <c r="AH28" s="266"/>
      <c r="AI28" s="268"/>
      <c r="AJ28" s="324"/>
      <c r="AK28" s="285"/>
      <c r="AL28" s="285"/>
      <c r="AM28" s="395"/>
      <c r="AN28" s="395"/>
      <c r="AO28" s="285"/>
      <c r="AP28" s="285"/>
      <c r="AQ28" s="285"/>
      <c r="AR28" s="285"/>
      <c r="AS28" s="61"/>
      <c r="AT28" s="61"/>
      <c r="AU28" s="61"/>
      <c r="AV28" s="61"/>
      <c r="AW28" s="61"/>
      <c r="AX28" s="61"/>
      <c r="AY28" s="61"/>
      <c r="AZ28" s="61"/>
      <c r="BA28" s="61"/>
      <c r="BB28" s="61"/>
    </row>
    <row r="29" spans="1:62" ht="144" customHeight="1" x14ac:dyDescent="0.25">
      <c r="A29" s="268"/>
      <c r="B29" s="270"/>
      <c r="C29" s="270"/>
      <c r="D29" s="270"/>
      <c r="E29" s="270"/>
      <c r="F29" s="270"/>
      <c r="G29" s="301"/>
      <c r="H29" s="87" t="s">
        <v>202</v>
      </c>
      <c r="I29" s="270"/>
      <c r="J29" s="272"/>
      <c r="K29" s="275"/>
      <c r="L29" s="272"/>
      <c r="M29" s="275"/>
      <c r="N29" s="266"/>
      <c r="O29" s="25">
        <v>3</v>
      </c>
      <c r="P29" s="85" t="s">
        <v>203</v>
      </c>
      <c r="Q29" s="25" t="str">
        <f>IF(OR(R29="Preventivo",R29="Detectivo"),"Probabilidad",IF(R29="Correctivo","Impacto",""))</f>
        <v>Probabilidad</v>
      </c>
      <c r="R29" s="76" t="s">
        <v>145</v>
      </c>
      <c r="S29" s="76" t="s">
        <v>146</v>
      </c>
      <c r="T29" s="26" t="str">
        <f t="shared" si="10"/>
        <v>40%</v>
      </c>
      <c r="U29" s="76" t="s">
        <v>147</v>
      </c>
      <c r="V29" s="76" t="s">
        <v>156</v>
      </c>
      <c r="W29" s="76" t="s">
        <v>149</v>
      </c>
      <c r="X29" s="83" t="s">
        <v>204</v>
      </c>
      <c r="Y29" s="78">
        <f>IFERROR(IF(AND(Q28="Probabilidad",Q29="Probabilidad"),(AA28-(+AA28*T29)),IF(AND(Q28="Impacto",Q29="Probabilidad"),(AA27-(+AA27*T29)),IF(Q29="Impacto",AA28,""))),"")</f>
        <v>0.12959999999999999</v>
      </c>
      <c r="Z29" s="28" t="str">
        <f>IFERROR(IF(Y29="","",IF(Y29&lt;=0.2,"Muy Baja",IF(Y29&lt;=0.4,"Baja",IF(Y29&lt;=0.6,"Media",IF(Y29&lt;=0.8,"Alta","Muy Alta"))))),"")</f>
        <v>Muy Baja</v>
      </c>
      <c r="AA29" s="26">
        <f t="shared" si="11"/>
        <v>0.12959999999999999</v>
      </c>
      <c r="AB29" s="28" t="str">
        <f t="shared" si="12"/>
        <v>Moderado</v>
      </c>
      <c r="AC29" s="26">
        <f>IFERROR(IF(AND(Q28="Impacto",Q29="Impacto"),(AC28-(+AC28*T29)),IF(AND(Q28="Probabilidad",Q29="Impacto"),(AC27-(+AC27*T29)),IF(Q29="Probabilidad",AC28,""))),"")</f>
        <v>0.6</v>
      </c>
      <c r="AD29" s="272"/>
      <c r="AE29" s="277"/>
      <c r="AF29" s="272"/>
      <c r="AG29" s="277"/>
      <c r="AH29" s="266"/>
      <c r="AI29" s="268"/>
      <c r="AJ29" s="324"/>
      <c r="AK29" s="285"/>
      <c r="AL29" s="285"/>
      <c r="AM29" s="395"/>
      <c r="AN29" s="395"/>
      <c r="AO29" s="285"/>
      <c r="AP29" s="285"/>
      <c r="AQ29" s="285"/>
      <c r="AR29" s="285"/>
      <c r="AS29" s="61"/>
      <c r="AT29" s="61"/>
      <c r="AU29" s="61"/>
      <c r="AV29" s="61"/>
      <c r="AW29" s="61"/>
      <c r="AX29" s="61"/>
      <c r="AY29" s="61"/>
      <c r="AZ29" s="61"/>
      <c r="BA29" s="61"/>
      <c r="BB29" s="61"/>
    </row>
    <row r="30" spans="1:62" ht="75" customHeight="1" x14ac:dyDescent="0.25">
      <c r="A30" s="268"/>
      <c r="B30" s="270"/>
      <c r="C30" s="270"/>
      <c r="D30" s="270"/>
      <c r="E30" s="270"/>
      <c r="F30" s="270"/>
      <c r="G30" s="301"/>
      <c r="H30" s="87" t="s">
        <v>205</v>
      </c>
      <c r="I30" s="270"/>
      <c r="J30" s="272"/>
      <c r="K30" s="275"/>
      <c r="L30" s="272"/>
      <c r="M30" s="275"/>
      <c r="N30" s="266"/>
      <c r="O30" s="25">
        <v>4</v>
      </c>
      <c r="P30" s="85" t="s">
        <v>206</v>
      </c>
      <c r="Q30" s="25" t="str">
        <f>IF(OR(R30="Preventivo",R30="Detectivo"),"Probabilidad",IF(R30="Correctivo","Impacto",""))</f>
        <v>Impacto</v>
      </c>
      <c r="R30" s="76" t="s">
        <v>207</v>
      </c>
      <c r="S30" s="76" t="s">
        <v>146</v>
      </c>
      <c r="T30" s="26" t="str">
        <f t="shared" si="10"/>
        <v>25%</v>
      </c>
      <c r="U30" s="76" t="s">
        <v>147</v>
      </c>
      <c r="V30" s="76" t="s">
        <v>156</v>
      </c>
      <c r="W30" s="76" t="s">
        <v>149</v>
      </c>
      <c r="X30" s="83" t="s">
        <v>208</v>
      </c>
      <c r="Y30" s="78">
        <f t="shared" ref="Y30:Y31" si="13">IFERROR(IF(AND(Q29="Probabilidad",Q30="Probabilidad"),(AA29-(+AA29*T30)),IF(AND(Q29="Impacto",Q30="Probabilidad"),(AA28-(+AA28*T30)),IF(Q30="Impacto",AA29,""))),"")</f>
        <v>0.12959999999999999</v>
      </c>
      <c r="Z30" s="28" t="str">
        <f t="shared" ref="Z30:Z34" si="14">IFERROR(IF(Y30="","",IF(Y30&lt;=0.2,"Muy Baja",IF(Y30&lt;=0.4,"Baja",IF(Y30&lt;=0.6,"Media",IF(Y30&lt;=0.8,"Alta","Muy Alta"))))),"")</f>
        <v>Muy Baja</v>
      </c>
      <c r="AA30" s="26">
        <f t="shared" ref="AA30:AA31" si="15">+Y30</f>
        <v>0.12959999999999999</v>
      </c>
      <c r="AB30" s="28" t="str">
        <f t="shared" ref="AB30:AB31" si="16">IFERROR(IF(AC30="","",IF(AC30&lt;=0.2,"Leve",IF(AC30&lt;=0.4,"Menor",IF(AC30&lt;=0.6,"Moderado",IF(AC30&lt;=0.8,"Mayor","Catastrófico"))))),"")</f>
        <v>Moderado</v>
      </c>
      <c r="AC30" s="26">
        <f t="shared" ref="AC30:AC31" si="17">IFERROR(IF(AND(Q29="Impacto",Q30="Impacto"),(AC29-(+AC29*T30)),IF(AND(Q29="Probabilidad",Q30="Impacto"),(AC28-(+AC28*T30)),IF(Q30="Probabilidad",AC29,""))),"")</f>
        <v>0.44999999999999996</v>
      </c>
      <c r="AD30" s="272"/>
      <c r="AE30" s="277"/>
      <c r="AF30" s="272"/>
      <c r="AG30" s="277"/>
      <c r="AH30" s="266"/>
      <c r="AI30" s="268"/>
      <c r="AJ30" s="324"/>
      <c r="AK30" s="285"/>
      <c r="AL30" s="285"/>
      <c r="AM30" s="395"/>
      <c r="AN30" s="395"/>
      <c r="AO30" s="285"/>
      <c r="AP30" s="285"/>
      <c r="AQ30" s="285"/>
      <c r="AR30" s="285"/>
      <c r="AS30" s="61"/>
      <c r="AT30" s="61"/>
      <c r="AU30" s="61"/>
      <c r="AV30" s="61"/>
      <c r="AW30" s="61"/>
      <c r="AX30" s="61"/>
      <c r="AY30" s="61"/>
      <c r="AZ30" s="61"/>
      <c r="BA30" s="61"/>
      <c r="BB30" s="61"/>
    </row>
    <row r="31" spans="1:62" ht="94.95" customHeight="1" x14ac:dyDescent="0.25">
      <c r="A31" s="290"/>
      <c r="B31" s="273"/>
      <c r="C31" s="273"/>
      <c r="D31" s="273"/>
      <c r="E31" s="273"/>
      <c r="F31" s="273"/>
      <c r="G31" s="302"/>
      <c r="H31" s="87" t="s">
        <v>209</v>
      </c>
      <c r="I31" s="273"/>
      <c r="J31" s="278"/>
      <c r="K31" s="279"/>
      <c r="L31" s="278"/>
      <c r="M31" s="279"/>
      <c r="N31" s="280"/>
      <c r="O31" s="25">
        <v>5</v>
      </c>
      <c r="P31" s="85" t="s">
        <v>210</v>
      </c>
      <c r="Q31" s="25" t="str">
        <f>IF(OR(R31="Preventivo",R31="Detectivo"),"Probabilidad",IF(R31="Correctivo","Impacto",""))</f>
        <v>Probabilidad</v>
      </c>
      <c r="R31" s="76" t="s">
        <v>145</v>
      </c>
      <c r="S31" s="76" t="s">
        <v>146</v>
      </c>
      <c r="T31" s="26" t="str">
        <f t="shared" si="10"/>
        <v>40%</v>
      </c>
      <c r="U31" s="76" t="s">
        <v>147</v>
      </c>
      <c r="V31" s="76" t="s">
        <v>156</v>
      </c>
      <c r="W31" s="76" t="s">
        <v>149</v>
      </c>
      <c r="X31" s="83" t="s">
        <v>211</v>
      </c>
      <c r="Y31" s="78">
        <f t="shared" si="13"/>
        <v>7.7759999999999996E-2</v>
      </c>
      <c r="Z31" s="28" t="str">
        <f t="shared" si="14"/>
        <v>Muy Baja</v>
      </c>
      <c r="AA31" s="26">
        <f t="shared" si="15"/>
        <v>7.7759999999999996E-2</v>
      </c>
      <c r="AB31" s="28" t="str">
        <f t="shared" si="16"/>
        <v>Moderado</v>
      </c>
      <c r="AC31" s="26">
        <f t="shared" si="17"/>
        <v>0.44999999999999996</v>
      </c>
      <c r="AD31" s="278"/>
      <c r="AE31" s="281"/>
      <c r="AF31" s="278"/>
      <c r="AG31" s="281"/>
      <c r="AH31" s="280"/>
      <c r="AI31" s="290"/>
      <c r="AJ31" s="324"/>
      <c r="AK31" s="285"/>
      <c r="AL31" s="285"/>
      <c r="AM31" s="395"/>
      <c r="AN31" s="395"/>
      <c r="AO31" s="285"/>
      <c r="AP31" s="397"/>
      <c r="AQ31" s="285"/>
      <c r="AR31" s="397"/>
      <c r="AS31" s="61"/>
      <c r="AT31" s="61"/>
      <c r="AU31" s="61"/>
      <c r="AV31" s="61"/>
      <c r="AW31" s="61"/>
      <c r="AX31" s="61"/>
      <c r="AY31" s="61"/>
      <c r="AZ31" s="61"/>
      <c r="BA31" s="61"/>
      <c r="BB31" s="61"/>
    </row>
    <row r="32" spans="1:62" ht="267" customHeight="1" x14ac:dyDescent="0.25">
      <c r="A32" s="294" t="s">
        <v>212</v>
      </c>
      <c r="B32" s="296" t="s">
        <v>641</v>
      </c>
      <c r="C32" s="298" t="s">
        <v>640</v>
      </c>
      <c r="D32" s="296" t="s">
        <v>213</v>
      </c>
      <c r="E32" s="298" t="s">
        <v>214</v>
      </c>
      <c r="F32" s="298" t="s">
        <v>639</v>
      </c>
      <c r="G32" s="298" t="s">
        <v>215</v>
      </c>
      <c r="H32" s="74" t="s">
        <v>216</v>
      </c>
      <c r="I32" s="269" t="s">
        <v>141</v>
      </c>
      <c r="J32" s="271" t="s">
        <v>217</v>
      </c>
      <c r="K32" s="274">
        <f>IF(J32="","",IF(J32="Muy Baja",0.2,IF(J32="Baja",0.4,IF(J32="Media",0.6,IF(J32="Alta",0.8,IF(J32="Muy Alta",1,))))))</f>
        <v>1</v>
      </c>
      <c r="L32" s="271" t="s">
        <v>143</v>
      </c>
      <c r="M32" s="274">
        <f>IF(L32="","",IF(L32="Leve",0.2,IF(L32="Menor",0.4,IF(L32="Moderado",0.6,IF(L32="Mayor",0.8,IF(L32="Catastrófico",1,))))))</f>
        <v>0.8</v>
      </c>
      <c r="N32" s="265" t="str">
        <f>IF(OR(AND(J32="Muy Baja",L32="Leve"),AND(J32="Muy Baja",L32="Menor"),AND(J32="Baja",L32="Leve")),"Bajo",IF(OR(AND(J32="Muy baja",L32="Moderado"),AND(J32="Baja",L32="Menor"),AND(J32="Baja",L32="Moderado"),AND(J32="Media",L32="Leve"),AND(J32="Media",L32="Menor"),AND(J32="Media",L32="Moderado"),AND(J32="Alta",L32="Leve"),AND(J32="Alta",L32="Menor")),"Moderado",IF(OR(AND(J32="Muy Baja",L32="Mayor"),AND(J32="Baja",L32="Mayor"),AND(J32="Media",L32="Mayor"),AND(J32="Alta",L32="Moderado"),AND(J32="Alta",L32="Mayor"),AND(J32="Muy Alta",L32="Leve"),AND(J32="Muy Alta",L32="Menor"),AND(J32="Muy Alta",L32="Moderado"),AND(J32="Muy Alta",L32="Mayor")),"Alto",IF(OR(AND(J32="Muy Baja",L32="Catastrófico"),AND(J32="Baja",L32="Catastrófico"),AND(J32="Media",L32="Catastrófico"),AND(J32="Alta",L32="Catastrófico"),AND(J32="Muy Alta",L32="Catastrófico")),"Extremo",""))))</f>
        <v>Alto</v>
      </c>
      <c r="O32" s="25">
        <v>1</v>
      </c>
      <c r="P32" s="75" t="s">
        <v>218</v>
      </c>
      <c r="Q32" s="25" t="str">
        <f t="shared" ref="Q32:Q34" si="18">IF(OR(R32="Preventivo",R32="Detectivo"),"Probabilidad",IF(R32="Correctivo","Impacto",""))</f>
        <v/>
      </c>
      <c r="R32" s="76" t="s">
        <v>219</v>
      </c>
      <c r="S32" s="76" t="s">
        <v>219</v>
      </c>
      <c r="T32" s="26" t="str">
        <f>IF(AND(R32="Preventivo",S32="Automático"),"50%",IF(AND(R32="Preventivo",S32="Manual"),"40%",IF(AND(R32="Detectivo",S32="Automático"),"40%",IF(AND(R32="Detectivo",S32="Manual"),"30%",IF(AND(R32="Correctivo",S32="Automático"),"35%",IF(AND(R32="Correctivo",S32="Manual"),"25%",""))))))</f>
        <v/>
      </c>
      <c r="U32" s="76" t="s">
        <v>219</v>
      </c>
      <c r="V32" s="76" t="s">
        <v>219</v>
      </c>
      <c r="W32" s="76" t="s">
        <v>219</v>
      </c>
      <c r="X32" s="83" t="s">
        <v>219</v>
      </c>
      <c r="Y32" s="78">
        <f>K32</f>
        <v>1</v>
      </c>
      <c r="Z32" s="28" t="str">
        <f t="shared" si="14"/>
        <v>Muy Alta</v>
      </c>
      <c r="AA32" s="26">
        <f>+Y32</f>
        <v>1</v>
      </c>
      <c r="AB32" s="28" t="str">
        <f>IFERROR(IF(AC32="","",IF(AC32&lt;=0.2,"Leve",IF(AC32&lt;=0.4,"Menor",IF(AC32&lt;=0.6,"Moderado",IF(AC32&lt;=0.8,"Mayor","Catastrófico"))))),"")</f>
        <v>Mayor</v>
      </c>
      <c r="AC32" s="26">
        <f>M32</f>
        <v>0.8</v>
      </c>
      <c r="AD32" s="271" t="str">
        <f>IFERROR(IF(AE32=0,"",IF(AND(AE32&gt;0,AE32&lt;=0.2),"Muy Baja",IF(AE32&lt;=0.4,"Baja",IF(AE32&lt;=0.6,"Media",IF(AE32&lt;=0.8,"Alta","Muy Alta"))))),"")</f>
        <v>Alta</v>
      </c>
      <c r="AE32" s="276">
        <f>MIN(Y32:Y34)</f>
        <v>0.7</v>
      </c>
      <c r="AF32" s="271" t="str">
        <f>IFERROR(IF(AG32=0,"",IF(AND(AG32&gt;0,AG32&lt;=0.2),"Leve",IF(AG32&lt;=0.4,"Menor",IF(AG32&lt;=0.6,"Moderado",IF(AG32&lt;=0.8,"Mayor","Catastrófico"))))),"")</f>
        <v>Mayor</v>
      </c>
      <c r="AG32" s="276">
        <f>MIN(AC32:AC34)</f>
        <v>0.8</v>
      </c>
      <c r="AH32" s="265" t="str">
        <f>IFERROR(IF(OR(AND(AD32="Muy Baja",AF32="Leve"),AND(AD32="Muy Baja",AF32="Menor"),AND(AD32="Baja",AF32="Leve")),"Bajo",IF(OR(AND(AD32="Muy Baja",AF32="Moderado"),AND(AD32="Baja",AF32="Menor"),AND(AD32="Baja",AF32="Moderado"),AND(AD32="Media",AF32="Leve"),AND(AD32="Media",AF32="Menor"),AND(AD32="Media",AF32="Moderado"),AND(AD32="Alta",AF32="Leve"),AND(AD32="Alta",AF32="Menor")),"Moderado",IF(OR(AND(AD32="Muy Baja",AF32="Mayor"),AND(AD32="Baja",AF32="Mayor"),AND(AD32="Media",AF32="Mayor"),AND(AD32="Alta",AF32="Moderado"),AND(AD32="Alta",AF32="Mayor"),AND(AD32="Muy Alta",AF32="Leve"),AND(AD32="Muy Alta",AF32="Menor"),AND(AD32="Muy Alta",AF32="Moderado"),AND(AD32="Muy Alta",AF32="Mayor")),"Alto",IF(OR(AND(AD32="Muy Baja",AF32="Catastrófico"),AND(AD32="Baja",AF32="Catastrófico"),AND(AD32="Media",AF32="Catastrófico"),AND(AD32="Alta",AF32="Catastrófico"),AND(AD32="Muy Alta",AF32="Catastrófico")),"Extremo","")))),"")</f>
        <v>Alto</v>
      </c>
      <c r="AI32" s="267"/>
      <c r="AJ32" s="115" t="s">
        <v>220</v>
      </c>
      <c r="AK32" s="396" t="s">
        <v>221</v>
      </c>
      <c r="AL32" s="396" t="s">
        <v>222</v>
      </c>
      <c r="AM32" s="394" t="s">
        <v>670</v>
      </c>
      <c r="AN32" s="394" t="s">
        <v>222</v>
      </c>
      <c r="AO32" s="399" t="s">
        <v>152</v>
      </c>
      <c r="AP32" s="399"/>
      <c r="AQ32" s="399" t="s">
        <v>152</v>
      </c>
      <c r="AR32" s="399"/>
      <c r="AS32" s="61"/>
      <c r="AT32" s="61"/>
      <c r="AU32" s="61"/>
      <c r="AV32" s="61"/>
      <c r="AW32" s="61"/>
      <c r="AX32" s="61"/>
      <c r="AY32" s="61"/>
      <c r="AZ32" s="61"/>
      <c r="BA32" s="61"/>
      <c r="BB32" s="61"/>
      <c r="BC32" s="61"/>
      <c r="BD32" s="61"/>
      <c r="BE32" s="61"/>
      <c r="BF32" s="61"/>
      <c r="BG32" s="61"/>
      <c r="BH32" s="61"/>
      <c r="BI32" s="61"/>
      <c r="BJ32" s="61"/>
    </row>
    <row r="33" spans="1:62" ht="184.95" customHeight="1" x14ac:dyDescent="0.25">
      <c r="A33" s="295"/>
      <c r="B33" s="297"/>
      <c r="C33" s="299"/>
      <c r="D33" s="297"/>
      <c r="E33" s="299"/>
      <c r="F33" s="299"/>
      <c r="G33" s="299"/>
      <c r="H33" s="131" t="s">
        <v>223</v>
      </c>
      <c r="I33" s="270"/>
      <c r="J33" s="272"/>
      <c r="K33" s="275"/>
      <c r="L33" s="272"/>
      <c r="M33" s="275"/>
      <c r="N33" s="266"/>
      <c r="O33" s="25">
        <v>2</v>
      </c>
      <c r="P33" s="132" t="s">
        <v>224</v>
      </c>
      <c r="Q33" s="25" t="str">
        <f t="shared" si="18"/>
        <v>Probabilidad</v>
      </c>
      <c r="R33" s="76" t="s">
        <v>225</v>
      </c>
      <c r="S33" s="76" t="s">
        <v>226</v>
      </c>
      <c r="T33" s="26" t="str">
        <f t="shared" ref="T33" si="19">IF(AND(R33="Preventivo",S33="Automático"),"50%",IF(AND(R33="Preventivo",S33="Manual"),"40%",IF(AND(R33="Detectivo",S33="Automático"),"40%",IF(AND(R33="Detectivo",S33="Manual"),"30%",IF(AND(R33="Correctivo",S33="Automático"),"35%",IF(AND(R33="Correctivo",S33="Manual"),"25%",""))))))</f>
        <v>30%</v>
      </c>
      <c r="U33" s="76" t="s">
        <v>147</v>
      </c>
      <c r="V33" s="76" t="s">
        <v>148</v>
      </c>
      <c r="W33" s="76" t="s">
        <v>149</v>
      </c>
      <c r="X33" s="82" t="s">
        <v>227</v>
      </c>
      <c r="Y33" s="78">
        <f>IFERROR(IF(AND(Q32="Probabilidad",Q33="Probabilidad"),(AA32-(+AA32*T33)),IF(Q33="Probabilidad",(K32-(+K32*T33)),IF(Q33="Impacto",AA32,""))),"")</f>
        <v>0.7</v>
      </c>
      <c r="Z33" s="28" t="str">
        <f t="shared" si="14"/>
        <v>Alta</v>
      </c>
      <c r="AA33" s="26">
        <f t="shared" ref="AA33:AA34" si="20">+Y33</f>
        <v>0.7</v>
      </c>
      <c r="AB33" s="28" t="str">
        <f t="shared" ref="AB33:AB34" si="21">IFERROR(IF(AC33="","",IF(AC33&lt;=0.2,"Leve",IF(AC33&lt;=0.4,"Menor",IF(AC33&lt;=0.6,"Moderado",IF(AC33&lt;=0.8,"Mayor","Catastrófico"))))),"")</f>
        <v>Mayor</v>
      </c>
      <c r="AC33" s="26">
        <f>AC32</f>
        <v>0.8</v>
      </c>
      <c r="AD33" s="272"/>
      <c r="AE33" s="277"/>
      <c r="AF33" s="272"/>
      <c r="AG33" s="277"/>
      <c r="AH33" s="266"/>
      <c r="AI33" s="268"/>
      <c r="AJ33" s="133" t="s">
        <v>228</v>
      </c>
      <c r="AK33" s="396"/>
      <c r="AL33" s="396"/>
      <c r="AM33" s="395"/>
      <c r="AN33" s="395"/>
      <c r="AO33" s="399"/>
      <c r="AP33" s="399"/>
      <c r="AQ33" s="399"/>
      <c r="AR33" s="399"/>
      <c r="AS33" s="61"/>
      <c r="AT33" s="61"/>
      <c r="AU33" s="61"/>
      <c r="AV33" s="61"/>
      <c r="AW33" s="61"/>
      <c r="AX33" s="61"/>
      <c r="AY33" s="61"/>
      <c r="AZ33" s="61"/>
      <c r="BA33" s="61"/>
      <c r="BB33" s="61"/>
      <c r="BC33" s="61"/>
      <c r="BD33" s="61"/>
      <c r="BE33" s="61"/>
      <c r="BF33" s="61"/>
      <c r="BG33" s="61"/>
      <c r="BH33" s="61"/>
      <c r="BI33" s="61"/>
      <c r="BJ33" s="61"/>
    </row>
    <row r="34" spans="1:62" ht="135.75" customHeight="1" x14ac:dyDescent="0.25">
      <c r="A34" s="295"/>
      <c r="B34" s="297"/>
      <c r="C34" s="299"/>
      <c r="D34" s="297"/>
      <c r="E34" s="299"/>
      <c r="F34" s="299"/>
      <c r="G34" s="299"/>
      <c r="H34" s="131" t="s">
        <v>642</v>
      </c>
      <c r="I34" s="270"/>
      <c r="J34" s="272"/>
      <c r="K34" s="275"/>
      <c r="L34" s="272"/>
      <c r="M34" s="275"/>
      <c r="N34" s="266"/>
      <c r="O34" s="25"/>
      <c r="P34" s="75" t="s">
        <v>229</v>
      </c>
      <c r="Q34" s="25" t="str">
        <f t="shared" si="18"/>
        <v/>
      </c>
      <c r="R34" s="76" t="s">
        <v>219</v>
      </c>
      <c r="S34" s="76" t="s">
        <v>219</v>
      </c>
      <c r="T34" s="26" t="str">
        <f>IF(AND(R34="Preventivo",S34="Automático"),"50%",IF(AND(R34="Preventivo",S34="Manual"),"40%",IF(AND(R34="Detectivo",S34="Automático"),"40%",IF(AND(R34="Detectivo",S34="Manual"),"30%",IF(AND(R34="Correctivo",S34="Automático"),"35%",IF(AND(R34="Correctivo",S34="Manual"),"25%",""))))))</f>
        <v/>
      </c>
      <c r="U34" s="76" t="s">
        <v>219</v>
      </c>
      <c r="V34" s="76" t="s">
        <v>219</v>
      </c>
      <c r="W34" s="76" t="s">
        <v>219</v>
      </c>
      <c r="X34" s="77" t="s">
        <v>219</v>
      </c>
      <c r="Y34" s="78">
        <f>Y33</f>
        <v>0.7</v>
      </c>
      <c r="Z34" s="28" t="str">
        <f t="shared" si="14"/>
        <v>Alta</v>
      </c>
      <c r="AA34" s="26">
        <f t="shared" si="20"/>
        <v>0.7</v>
      </c>
      <c r="AB34" s="28" t="str">
        <f t="shared" si="21"/>
        <v>Mayor</v>
      </c>
      <c r="AC34" s="26">
        <f>AC33</f>
        <v>0.8</v>
      </c>
      <c r="AD34" s="272"/>
      <c r="AE34" s="277"/>
      <c r="AF34" s="272"/>
      <c r="AG34" s="277"/>
      <c r="AH34" s="266"/>
      <c r="AI34" s="268"/>
      <c r="AJ34" s="115" t="s">
        <v>230</v>
      </c>
      <c r="AK34" s="396"/>
      <c r="AL34" s="396"/>
      <c r="AM34" s="395"/>
      <c r="AN34" s="395"/>
      <c r="AO34" s="399"/>
      <c r="AP34" s="399"/>
      <c r="AQ34" s="399"/>
      <c r="AR34" s="399"/>
      <c r="AS34" s="61"/>
      <c r="AT34" s="61"/>
      <c r="AU34" s="61"/>
      <c r="AV34" s="61"/>
      <c r="AW34" s="61"/>
      <c r="AX34" s="61"/>
      <c r="AY34" s="61"/>
      <c r="AZ34" s="61"/>
      <c r="BA34" s="61"/>
      <c r="BB34" s="61"/>
      <c r="BC34" s="61"/>
      <c r="BD34" s="61"/>
      <c r="BE34" s="61"/>
      <c r="BF34" s="61"/>
      <c r="BG34" s="61"/>
      <c r="BH34" s="61"/>
      <c r="BI34" s="61"/>
      <c r="BJ34" s="61"/>
    </row>
    <row r="35" spans="1:62" s="80" customFormat="1" ht="64.2" customHeight="1" x14ac:dyDescent="0.3">
      <c r="A35" s="267" t="s">
        <v>231</v>
      </c>
      <c r="B35" s="269" t="s">
        <v>232</v>
      </c>
      <c r="C35" s="269" t="s">
        <v>233</v>
      </c>
      <c r="D35" s="269" t="s">
        <v>234</v>
      </c>
      <c r="E35" s="269" t="s">
        <v>235</v>
      </c>
      <c r="F35" s="269" t="s">
        <v>236</v>
      </c>
      <c r="G35" s="269" t="s">
        <v>237</v>
      </c>
      <c r="H35" s="87" t="s">
        <v>238</v>
      </c>
      <c r="I35" s="269" t="s">
        <v>141</v>
      </c>
      <c r="J35" s="271" t="s">
        <v>239</v>
      </c>
      <c r="K35" s="274">
        <f>IF(J35="","",IF(J35="Muy Baja",0.2,IF(J35="Baja",0.4,IF(J35="Media",0.6,IF(J35="Alta",0.8,IF(J35="Muy Alta",1,))))))</f>
        <v>0.4</v>
      </c>
      <c r="L35" s="271" t="s">
        <v>240</v>
      </c>
      <c r="M35" s="274">
        <f>IF(L35="","",IF(L35="Leve",0.2,IF(L35="Menor",0.4,IF(L35="Moderado",0.6,IF(L35="Mayor",0.8,IF(L35="Catastrófico",1,))))))</f>
        <v>1</v>
      </c>
      <c r="N35" s="265" t="str">
        <f>IF(OR(AND(J35="Muy Baja",L35="Leve"),AND(J35="Muy Baja",L35="Menor"),AND(J35="Baja",L35="Leve")),"Bajo",IF(OR(AND(J35="Muy baja",L35="Moderado"),AND(J35="Baja",L35="Menor"),AND(J35="Baja",L35="Moderado"),AND(J35="Media",L35="Leve"),AND(J35="Media",L35="Menor"),AND(J35="Media",L35="Moderado"),AND(J35="Alta",L35="Leve"),AND(J35="Alta",L35="Menor")),"Moderado",IF(OR(AND(J35="Muy Baja",L35="Mayor"),AND(J35="Baja",L35="Mayor"),AND(J35="Media",L35="Mayor"),AND(J35="Alta",L35="Moderado"),AND(J35="Alta",L35="Mayor"),AND(J35="Muy Alta",L35="Leve"),AND(J35="Muy Alta",L35="Menor"),AND(J35="Muy Alta",L35="Moderado"),AND(J35="Muy Alta",L35="Mayor")),"Alto",IF(OR(AND(J35="Muy Baja",L35="Catastrófico"),AND(J35="Baja",L35="Catastrófico"),AND(J35="Media",L35="Catastrófico"),AND(J35="Alta",L35="Catastrófico"),AND(J35="Muy Alta",L35="Catastrófico")),"Extremo",""))))</f>
        <v>Extremo</v>
      </c>
      <c r="O35" s="25"/>
      <c r="P35" s="83" t="s">
        <v>241</v>
      </c>
      <c r="Q35" s="25" t="str">
        <f t="shared" ref="Q35:Q44" si="22">IF(OR(R35="Preventivo",R35="Detectivo"),"Probabilidad",IF(R35="Correctivo","Impacto",""))</f>
        <v>Probabilidad</v>
      </c>
      <c r="R35" s="76" t="s">
        <v>145</v>
      </c>
      <c r="S35" s="76" t="s">
        <v>146</v>
      </c>
      <c r="T35" s="26" t="str">
        <f t="shared" si="10"/>
        <v>40%</v>
      </c>
      <c r="U35" s="76" t="s">
        <v>147</v>
      </c>
      <c r="V35" s="76" t="s">
        <v>156</v>
      </c>
      <c r="W35" s="76" t="s">
        <v>149</v>
      </c>
      <c r="X35" s="83" t="s">
        <v>242</v>
      </c>
      <c r="Y35" s="78">
        <f>IFERROR(IF(Q35="Probabilidad",(K35-(+K35*T35)),IF(Q35="Impacto",K35,"")),"")</f>
        <v>0.24</v>
      </c>
      <c r="Z35" s="28" t="str">
        <f t="shared" ref="Z35:Z49" si="23">IFERROR(IF(Y35="","",IF(Y35&lt;=0.2,"Muy Baja",IF(Y35&lt;=0.4,"Baja",IF(Y35&lt;=0.6,"Media",IF(Y35&lt;=0.8,"Alta","Muy Alta"))))),"")</f>
        <v>Baja</v>
      </c>
      <c r="AA35" s="26">
        <f>+Y35</f>
        <v>0.24</v>
      </c>
      <c r="AB35" s="28" t="str">
        <f>IFERROR(IF(AC35="","",IF(AC35&lt;=0.2,"Leve",IF(AC35&lt;=0.4,"Menor",IF(AC35&lt;=0.6,"Moderado",IF(AC35&lt;=0.8,"Mayor","Catastrófico"))))),"")</f>
        <v>Catastrófico</v>
      </c>
      <c r="AC35" s="26">
        <f>IFERROR(IF(Q35="Impacto",(M35-(+M35*T35)),IF(Q35="Probabilidad",M35,"")),"")</f>
        <v>1</v>
      </c>
      <c r="AD35" s="271" t="str">
        <f>IFERROR(IF(AE35=0,"",IF(AND(AE35&gt;0,AE35&lt;=0.2),"Muy Baja",IF(AE35&lt;=0.4,"Baja",IF(AE35&lt;=0.6,"Media",IF(AE35&lt;=0.8,"Alta","Muy Alta"))))),"")</f>
        <v>Muy Baja</v>
      </c>
      <c r="AE35" s="276">
        <f>MIN(Y35:Y40)</f>
        <v>3.1103999999999993E-2</v>
      </c>
      <c r="AF35" s="271" t="str">
        <f>IFERROR(IF(AG35=0,"",IF(AND(AG35&gt;0,AG35&lt;=0.2),"Leve",IF(AG35&lt;=0.4,"Menor",IF(AG35&lt;=0.6,"Moderado",IF(AG35&lt;=0.8,"Mayor","Catastrófico"))))),"")</f>
        <v>Mayor</v>
      </c>
      <c r="AG35" s="276">
        <f>MIN(AC35:AC40)</f>
        <v>0.75</v>
      </c>
      <c r="AH35" s="265" t="str">
        <f>IFERROR(IF(OR(AND(AD35="Muy Baja",AF35="Leve"),AND(AD35="Muy Baja",AF35="Menor"),AND(AD35="Baja",AF35="Leve")),"Bajo",IF(OR(AND(AD35="Muy Baja",AF35="Moderado"),AND(AD35="Baja",AF35="Menor"),AND(AD35="Baja",AF35="Moderado"),AND(AD35="Media",AF35="Leve"),AND(AD35="Media",AF35="Menor"),AND(AD35="Media",AF35="Moderado"),AND(AD35="Alta",AF35="Leve"),AND(AD35="Alta",AF35="Menor")),"Moderado",IF(OR(AND(AD35="Muy Baja",AF35="Mayor"),AND(AD35="Baja",AF35="Mayor"),AND(AD35="Media",AF35="Mayor"),AND(AD35="Alta",AF35="Moderado"),AND(AD35="Alta",AF35="Mayor"),AND(AD35="Muy Alta",AF35="Leve"),AND(AD35="Muy Alta",AF35="Menor"),AND(AD35="Muy Alta",AF35="Moderado"),AND(AD35="Muy Alta",AF35="Mayor")),"Alto",IF(OR(AND(AD35="Muy Baja",AF35="Catastrófico"),AND(AD35="Baja",AF35="Catastrófico"),AND(AD35="Media",AF35="Catastrófico"),AND(AD35="Alta",AF35="Catastrófico"),AND(AD35="Muy Alta",AF35="Catastrófico")),"Extremo","")))),"")</f>
        <v>Alto</v>
      </c>
      <c r="AI35" s="267" t="s">
        <v>151</v>
      </c>
      <c r="AJ35" s="323"/>
      <c r="AK35" s="394" t="s">
        <v>243</v>
      </c>
      <c r="AL35" s="284" t="s">
        <v>244</v>
      </c>
      <c r="AM35" s="284" t="s">
        <v>655</v>
      </c>
      <c r="AN35" s="284" t="s">
        <v>656</v>
      </c>
      <c r="AO35" s="284" t="s">
        <v>152</v>
      </c>
      <c r="AP35" s="284"/>
      <c r="AQ35" s="284" t="s">
        <v>152</v>
      </c>
      <c r="AR35" s="403"/>
      <c r="AS35" s="79"/>
      <c r="AT35" s="79"/>
      <c r="AU35" s="79"/>
      <c r="AV35" s="79"/>
      <c r="AW35" s="79"/>
      <c r="AX35" s="79"/>
      <c r="AY35" s="79"/>
      <c r="AZ35" s="79"/>
      <c r="BA35" s="79"/>
      <c r="BB35" s="79"/>
    </row>
    <row r="36" spans="1:62" s="80" customFormat="1" ht="105" customHeight="1" x14ac:dyDescent="0.3">
      <c r="A36" s="268"/>
      <c r="B36" s="270"/>
      <c r="C36" s="270"/>
      <c r="D36" s="270"/>
      <c r="E36" s="270"/>
      <c r="F36" s="270"/>
      <c r="G36" s="270"/>
      <c r="H36" s="89" t="s">
        <v>643</v>
      </c>
      <c r="I36" s="270"/>
      <c r="J36" s="272"/>
      <c r="K36" s="275"/>
      <c r="L36" s="272"/>
      <c r="M36" s="275"/>
      <c r="N36" s="266"/>
      <c r="O36" s="25"/>
      <c r="P36" s="87" t="s">
        <v>245</v>
      </c>
      <c r="Q36" s="25" t="str">
        <f t="shared" si="22"/>
        <v>Probabilidad</v>
      </c>
      <c r="R36" s="76" t="s">
        <v>145</v>
      </c>
      <c r="S36" s="76" t="s">
        <v>146</v>
      </c>
      <c r="T36" s="26" t="str">
        <f t="shared" si="10"/>
        <v>40%</v>
      </c>
      <c r="U36" s="76" t="s">
        <v>155</v>
      </c>
      <c r="V36" s="76" t="s">
        <v>156</v>
      </c>
      <c r="W36" s="76" t="s">
        <v>149</v>
      </c>
      <c r="X36" s="25" t="s">
        <v>246</v>
      </c>
      <c r="Y36" s="78">
        <f>IFERROR(IF(AND(Q35="Probabilidad",Q36="Probabilidad"),(AA35-(+AA35*T36)),IF(Q36="Probabilidad",(K35-(+K35*T36)),IF(Q36="Impacto",AA35,""))),"")</f>
        <v>0.14399999999999999</v>
      </c>
      <c r="Z36" s="28" t="str">
        <f t="shared" si="23"/>
        <v>Muy Baja</v>
      </c>
      <c r="AA36" s="26">
        <f t="shared" ref="AA36:AA40" si="24">+Y36</f>
        <v>0.14399999999999999</v>
      </c>
      <c r="AB36" s="28" t="str">
        <f t="shared" ref="AB36:AB40" si="25">IFERROR(IF(AC36="","",IF(AC36&lt;=0.2,"Leve",IF(AC36&lt;=0.4,"Menor",IF(AC36&lt;=0.6,"Moderado",IF(AC36&lt;=0.8,"Mayor","Catastrófico"))))),"")</f>
        <v>Catastrófico</v>
      </c>
      <c r="AC36" s="26">
        <f>IFERROR(IF(AND(Q35="Impacto",Q36="Impacto"),(AC35-(+AC35*T36)),IF(Q36="Impacto",(#REF!-(+#REF!*T36)),IF(Q36="Probabilidad",AC35,""))),"")</f>
        <v>1</v>
      </c>
      <c r="AD36" s="272"/>
      <c r="AE36" s="277"/>
      <c r="AF36" s="272"/>
      <c r="AG36" s="277"/>
      <c r="AH36" s="266"/>
      <c r="AI36" s="268"/>
      <c r="AJ36" s="324"/>
      <c r="AK36" s="395"/>
      <c r="AL36" s="285"/>
      <c r="AM36" s="285"/>
      <c r="AN36" s="285"/>
      <c r="AO36" s="285"/>
      <c r="AP36" s="285"/>
      <c r="AQ36" s="285"/>
      <c r="AR36" s="285"/>
      <c r="AS36" s="79"/>
      <c r="AT36" s="79"/>
      <c r="AU36" s="79"/>
      <c r="AV36" s="79"/>
      <c r="AW36" s="79"/>
      <c r="AX36" s="79"/>
      <c r="AY36" s="79"/>
      <c r="AZ36" s="79"/>
      <c r="BA36" s="79"/>
      <c r="BB36" s="79"/>
    </row>
    <row r="37" spans="1:62" s="80" customFormat="1" ht="64.2" customHeight="1" x14ac:dyDescent="0.3">
      <c r="A37" s="268"/>
      <c r="B37" s="270"/>
      <c r="C37" s="270"/>
      <c r="D37" s="270"/>
      <c r="E37" s="270"/>
      <c r="F37" s="270"/>
      <c r="G37" s="270"/>
      <c r="H37" s="87" t="s">
        <v>247</v>
      </c>
      <c r="I37" s="270"/>
      <c r="J37" s="272"/>
      <c r="K37" s="275"/>
      <c r="L37" s="272"/>
      <c r="M37" s="275"/>
      <c r="N37" s="266"/>
      <c r="O37" s="25"/>
      <c r="P37" s="87" t="s">
        <v>248</v>
      </c>
      <c r="Q37" s="25" t="str">
        <f t="shared" si="22"/>
        <v>Probabilidad</v>
      </c>
      <c r="R37" s="76" t="s">
        <v>145</v>
      </c>
      <c r="S37" s="76" t="s">
        <v>146</v>
      </c>
      <c r="T37" s="26" t="str">
        <f t="shared" si="10"/>
        <v>40%</v>
      </c>
      <c r="U37" s="76" t="s">
        <v>155</v>
      </c>
      <c r="V37" s="76" t="s">
        <v>156</v>
      </c>
      <c r="W37" s="76" t="s">
        <v>149</v>
      </c>
      <c r="X37" s="82" t="s">
        <v>249</v>
      </c>
      <c r="Y37" s="78">
        <f>IFERROR(IF(AND(Q36="Probabilidad",Q37="Probabilidad"),(AA36-(+AA36*T37)),IF(AND(Q36="Impacto",Q37="Probabilidad"),(AC35-(+AC35*T37)),IF(Q37="Impacto",AA36,""))),"")</f>
        <v>8.6399999999999991E-2</v>
      </c>
      <c r="Z37" s="28" t="str">
        <f t="shared" si="23"/>
        <v>Muy Baja</v>
      </c>
      <c r="AA37" s="26">
        <f t="shared" si="24"/>
        <v>8.6399999999999991E-2</v>
      </c>
      <c r="AB37" s="28" t="str">
        <f t="shared" si="25"/>
        <v>Catastrófico</v>
      </c>
      <c r="AC37" s="26">
        <f>IFERROR(IF(AND(Q36="Impacto",Q37="Impacto"),(AC36-(+AC36*T37)),IF(AND(Q36="Probabilidad",Q37="Impacto"),(AC35-(+AC35*T37)),IF(Q37="Probabilidad",AC36,""))),"")</f>
        <v>1</v>
      </c>
      <c r="AD37" s="272"/>
      <c r="AE37" s="277"/>
      <c r="AF37" s="272"/>
      <c r="AG37" s="277"/>
      <c r="AH37" s="266"/>
      <c r="AI37" s="268"/>
      <c r="AJ37" s="324"/>
      <c r="AK37" s="395"/>
      <c r="AL37" s="285"/>
      <c r="AM37" s="285"/>
      <c r="AN37" s="285"/>
      <c r="AO37" s="285"/>
      <c r="AP37" s="285"/>
      <c r="AQ37" s="285"/>
      <c r="AR37" s="285"/>
      <c r="AS37" s="79"/>
      <c r="AT37" s="79"/>
      <c r="AU37" s="79"/>
      <c r="AV37" s="79"/>
      <c r="AW37" s="79"/>
      <c r="AX37" s="79"/>
      <c r="AY37" s="79"/>
      <c r="AZ37" s="79"/>
      <c r="BA37" s="79"/>
      <c r="BB37" s="79"/>
    </row>
    <row r="38" spans="1:62" s="80" customFormat="1" ht="64.2" customHeight="1" x14ac:dyDescent="0.3">
      <c r="A38" s="268"/>
      <c r="B38" s="270"/>
      <c r="C38" s="270"/>
      <c r="D38" s="270"/>
      <c r="E38" s="270"/>
      <c r="F38" s="270"/>
      <c r="G38" s="270"/>
      <c r="H38" s="87" t="s">
        <v>250</v>
      </c>
      <c r="I38" s="270"/>
      <c r="J38" s="272"/>
      <c r="K38" s="275"/>
      <c r="L38" s="272"/>
      <c r="M38" s="275"/>
      <c r="N38" s="266"/>
      <c r="O38" s="25"/>
      <c r="P38" s="87" t="s">
        <v>251</v>
      </c>
      <c r="Q38" s="25" t="str">
        <f t="shared" si="22"/>
        <v>Probabilidad</v>
      </c>
      <c r="R38" s="76" t="s">
        <v>145</v>
      </c>
      <c r="S38" s="76" t="s">
        <v>146</v>
      </c>
      <c r="T38" s="26" t="str">
        <f t="shared" si="10"/>
        <v>40%</v>
      </c>
      <c r="U38" s="76" t="s">
        <v>155</v>
      </c>
      <c r="V38" s="76" t="s">
        <v>156</v>
      </c>
      <c r="W38" s="76" t="s">
        <v>149</v>
      </c>
      <c r="X38" s="82" t="s">
        <v>252</v>
      </c>
      <c r="Y38" s="78">
        <f>IFERROR(IF(AND(Q37="Probabilidad",Q38="Probabilidad"),(AA37-(+AA37*T38)),IF(AND(Q37="Impacto",Q38="Probabilidad"),(#REF!-(+#REF!*T38)),IF(Q38="Impacto",AA37,""))),"")</f>
        <v>5.183999999999999E-2</v>
      </c>
      <c r="Z38" s="28" t="str">
        <f t="shared" si="23"/>
        <v>Muy Baja</v>
      </c>
      <c r="AA38" s="26">
        <f t="shared" si="24"/>
        <v>5.183999999999999E-2</v>
      </c>
      <c r="AB38" s="28" t="str">
        <f t="shared" si="25"/>
        <v>Catastrófico</v>
      </c>
      <c r="AC38" s="26">
        <f>IFERROR(IF(AND(Q37="Impacto",Q38="Impacto"),(AC37-(+AC37*T38)),IF(AND(Q37="Probabilidad",Q38="Impacto"),(#REF!-(+#REF!*T38)),IF(Q38="Probabilidad",AC37,""))),"")</f>
        <v>1</v>
      </c>
      <c r="AD38" s="272"/>
      <c r="AE38" s="277"/>
      <c r="AF38" s="272"/>
      <c r="AG38" s="277"/>
      <c r="AH38" s="266"/>
      <c r="AI38" s="268"/>
      <c r="AJ38" s="324"/>
      <c r="AK38" s="395"/>
      <c r="AL38" s="285"/>
      <c r="AM38" s="285"/>
      <c r="AN38" s="285"/>
      <c r="AO38" s="285"/>
      <c r="AP38" s="285"/>
      <c r="AQ38" s="285"/>
      <c r="AR38" s="285"/>
      <c r="AS38" s="79"/>
      <c r="AT38" s="79"/>
      <c r="AU38" s="79"/>
      <c r="AV38" s="79"/>
      <c r="AW38" s="79"/>
      <c r="AX38" s="79"/>
      <c r="AY38" s="79"/>
      <c r="AZ38" s="79"/>
      <c r="BA38" s="79"/>
      <c r="BB38" s="79"/>
    </row>
    <row r="39" spans="1:62" s="80" customFormat="1" ht="118.95" customHeight="1" x14ac:dyDescent="0.3">
      <c r="A39" s="268"/>
      <c r="B39" s="270"/>
      <c r="C39" s="270"/>
      <c r="D39" s="270"/>
      <c r="E39" s="270"/>
      <c r="F39" s="270"/>
      <c r="G39" s="270"/>
      <c r="H39" s="87" t="s">
        <v>253</v>
      </c>
      <c r="I39" s="270"/>
      <c r="J39" s="272"/>
      <c r="K39" s="275"/>
      <c r="L39" s="272"/>
      <c r="M39" s="275"/>
      <c r="N39" s="266"/>
      <c r="O39" s="25"/>
      <c r="P39" s="85" t="s">
        <v>254</v>
      </c>
      <c r="Q39" s="25" t="str">
        <f t="shared" si="22"/>
        <v>Probabilidad</v>
      </c>
      <c r="R39" s="76" t="s">
        <v>145</v>
      </c>
      <c r="S39" s="76" t="s">
        <v>146</v>
      </c>
      <c r="T39" s="26" t="str">
        <f t="shared" si="10"/>
        <v>40%</v>
      </c>
      <c r="U39" s="76" t="s">
        <v>155</v>
      </c>
      <c r="V39" s="76" t="s">
        <v>156</v>
      </c>
      <c r="W39" s="76" t="s">
        <v>149</v>
      </c>
      <c r="X39" s="83" t="s">
        <v>255</v>
      </c>
      <c r="Y39" s="78">
        <f>IFERROR(IF(AND(Q38="Probabilidad",Q39="Probabilidad"),(AA38-(+AA38*T39)),IF(AND(Q38="Impacto",Q39="Probabilidad"),(AA37-(+AA37*T39)),IF(Q39="Impacto",AA38,""))),"")</f>
        <v>3.1103999999999993E-2</v>
      </c>
      <c r="Z39" s="28" t="str">
        <f t="shared" si="23"/>
        <v>Muy Baja</v>
      </c>
      <c r="AA39" s="26">
        <f t="shared" si="24"/>
        <v>3.1103999999999993E-2</v>
      </c>
      <c r="AB39" s="28" t="str">
        <f t="shared" si="25"/>
        <v>Catastrófico</v>
      </c>
      <c r="AC39" s="26">
        <f>IFERROR(IF(AND(Q38="Impacto",Q39="Impacto"),(AC38-(+AC38*T39)),IF(AND(Q38="Probabilidad",Q39="Impacto"),(AC37-(+AC37*T39)),IF(Q39="Probabilidad",AC38,""))),"")</f>
        <v>1</v>
      </c>
      <c r="AD39" s="272"/>
      <c r="AE39" s="277"/>
      <c r="AF39" s="272"/>
      <c r="AG39" s="277"/>
      <c r="AH39" s="266"/>
      <c r="AI39" s="268"/>
      <c r="AJ39" s="324"/>
      <c r="AK39" s="395"/>
      <c r="AL39" s="285"/>
      <c r="AM39" s="285"/>
      <c r="AN39" s="285"/>
      <c r="AO39" s="285"/>
      <c r="AP39" s="285"/>
      <c r="AQ39" s="285"/>
      <c r="AR39" s="285"/>
      <c r="AS39" s="79"/>
      <c r="AT39" s="79"/>
      <c r="AU39" s="79"/>
      <c r="AV39" s="79"/>
      <c r="AW39" s="79"/>
      <c r="AX39" s="79"/>
      <c r="AY39" s="79"/>
      <c r="AZ39" s="79"/>
      <c r="BA39" s="79"/>
      <c r="BB39" s="79"/>
    </row>
    <row r="40" spans="1:62" s="80" customFormat="1" ht="82.95" customHeight="1" x14ac:dyDescent="0.3">
      <c r="A40" s="290"/>
      <c r="B40" s="273"/>
      <c r="C40" s="273"/>
      <c r="D40" s="273"/>
      <c r="E40" s="273"/>
      <c r="F40" s="273"/>
      <c r="G40" s="273"/>
      <c r="H40" s="87" t="s">
        <v>256</v>
      </c>
      <c r="I40" s="273"/>
      <c r="J40" s="278"/>
      <c r="K40" s="279"/>
      <c r="L40" s="278"/>
      <c r="M40" s="279"/>
      <c r="N40" s="280"/>
      <c r="O40" s="25"/>
      <c r="P40" s="85" t="s">
        <v>257</v>
      </c>
      <c r="Q40" s="25" t="str">
        <f t="shared" si="22"/>
        <v>Impacto</v>
      </c>
      <c r="R40" s="76" t="s">
        <v>207</v>
      </c>
      <c r="S40" s="76" t="s">
        <v>146</v>
      </c>
      <c r="T40" s="26" t="str">
        <f t="shared" si="10"/>
        <v>25%</v>
      </c>
      <c r="U40" s="76" t="s">
        <v>147</v>
      </c>
      <c r="V40" s="76" t="s">
        <v>148</v>
      </c>
      <c r="W40" s="76" t="s">
        <v>149</v>
      </c>
      <c r="X40" s="83" t="s">
        <v>258</v>
      </c>
      <c r="Y40" s="78">
        <f>IFERROR(IF(AND(Q39="Probabilidad",Q40="Probabilidad"),(AA39-(+AA39*T40)),IF(AND(Q39="Impacto",Q40="Probabilidad"),(AA38-(+AA38*T40)),IF(Q40="Impacto",AA39,""))),"")</f>
        <v>3.1103999999999993E-2</v>
      </c>
      <c r="Z40" s="28" t="str">
        <f t="shared" si="23"/>
        <v>Muy Baja</v>
      </c>
      <c r="AA40" s="26">
        <f t="shared" si="24"/>
        <v>3.1103999999999993E-2</v>
      </c>
      <c r="AB40" s="28" t="str">
        <f t="shared" si="25"/>
        <v>Mayor</v>
      </c>
      <c r="AC40" s="26">
        <f>IFERROR(IF(AND(Q39="Impacto",Q40="Impacto"),(AC39-(+AC39*T40)),IF(AND(Q39="Probabilidad",Q40="Impacto"),(AC38-(+AC38*T40)),IF(Q40="Probabilidad",AC39,""))),"")</f>
        <v>0.75</v>
      </c>
      <c r="AD40" s="278"/>
      <c r="AE40" s="281"/>
      <c r="AF40" s="278"/>
      <c r="AG40" s="281"/>
      <c r="AH40" s="280"/>
      <c r="AI40" s="268"/>
      <c r="AJ40" s="324"/>
      <c r="AK40" s="395"/>
      <c r="AL40" s="285"/>
      <c r="AM40" s="285"/>
      <c r="AN40" s="285"/>
      <c r="AO40" s="285"/>
      <c r="AP40" s="285"/>
      <c r="AQ40" s="285"/>
      <c r="AR40" s="285"/>
      <c r="AS40" s="79"/>
      <c r="AT40" s="79"/>
      <c r="AU40" s="79"/>
      <c r="AV40" s="79"/>
      <c r="AW40" s="79"/>
      <c r="AX40" s="79"/>
      <c r="AY40" s="79"/>
      <c r="AZ40" s="79"/>
      <c r="BA40" s="79"/>
      <c r="BB40" s="79"/>
    </row>
    <row r="41" spans="1:62" s="80" customFormat="1" ht="64.2" customHeight="1" x14ac:dyDescent="0.3">
      <c r="A41" s="267" t="s">
        <v>259</v>
      </c>
      <c r="B41" s="269" t="s">
        <v>260</v>
      </c>
      <c r="C41" s="269" t="s">
        <v>261</v>
      </c>
      <c r="D41" s="269" t="s">
        <v>187</v>
      </c>
      <c r="E41" s="269" t="s">
        <v>262</v>
      </c>
      <c r="F41" s="269" t="s">
        <v>263</v>
      </c>
      <c r="G41" s="269" t="s">
        <v>264</v>
      </c>
      <c r="H41" s="87" t="s">
        <v>265</v>
      </c>
      <c r="I41" s="269" t="s">
        <v>141</v>
      </c>
      <c r="J41" s="271" t="s">
        <v>192</v>
      </c>
      <c r="K41" s="274">
        <f>IF(J41="","",IF(J41="Muy Baja",0.2,IF(J41="Baja",0.4,IF(J41="Media",0.6,IF(J41="Alta",0.8,IF(J41="Muy Alta",1,))))))</f>
        <v>0.6</v>
      </c>
      <c r="L41" s="271" t="s">
        <v>143</v>
      </c>
      <c r="M41" s="274">
        <f>IF(L41="","",IF(L41="Leve",0.2,IF(L41="Menor",0.4,IF(L41="Moderado",0.6,IF(L41="Mayor",0.8,IF(L41="Catastrófico",1,))))))</f>
        <v>0.8</v>
      </c>
      <c r="N41" s="265" t="str">
        <f>IF(OR(AND(J41="Muy Baja",L41="Leve"),AND(J41="Muy Baja",L41="Menor"),AND(J41="Baja",L41="Leve")),"Bajo",IF(OR(AND(J41="Muy baja",L41="Moderado"),AND(J41="Baja",L41="Menor"),AND(J41="Baja",L41="Moderado"),AND(J41="Media",L41="Leve"),AND(J41="Media",L41="Menor"),AND(J41="Media",L41="Moderado"),AND(J41="Alta",L41="Leve"),AND(J41="Alta",L41="Menor")),"Moderado",IF(OR(AND(J41="Muy Baja",L41="Mayor"),AND(J41="Baja",L41="Mayor"),AND(J41="Media",L41="Mayor"),AND(J41="Alta",L41="Moderado"),AND(J41="Alta",L41="Mayor"),AND(J41="Muy Alta",L41="Leve"),AND(J41="Muy Alta",L41="Menor"),AND(J41="Muy Alta",L41="Moderado"),AND(J41="Muy Alta",L41="Mayor")),"Alto",IF(OR(AND(J41="Muy Baja",L41="Catastrófico"),AND(J41="Baja",L41="Catastrófico"),AND(J41="Media",L41="Catastrófico"),AND(J41="Alta",L41="Catastrófico"),AND(J41="Muy Alta",L41="Catastrófico")),"Extremo",""))))</f>
        <v>Alto</v>
      </c>
      <c r="O41" s="25">
        <v>1</v>
      </c>
      <c r="P41" s="83" t="s">
        <v>266</v>
      </c>
      <c r="Q41" s="25" t="str">
        <f t="shared" si="22"/>
        <v>Impacto</v>
      </c>
      <c r="R41" s="76" t="s">
        <v>207</v>
      </c>
      <c r="S41" s="76" t="s">
        <v>146</v>
      </c>
      <c r="T41" s="26" t="str">
        <f t="shared" si="10"/>
        <v>25%</v>
      </c>
      <c r="U41" s="76" t="s">
        <v>155</v>
      </c>
      <c r="V41" s="76" t="s">
        <v>156</v>
      </c>
      <c r="W41" s="76" t="s">
        <v>149</v>
      </c>
      <c r="X41" s="83" t="s">
        <v>267</v>
      </c>
      <c r="Y41" s="78">
        <f>IFERROR(IF(Q41="Probabilidad",(K41-(+K41*T41)),IF(Q41="Impacto",K41,"")),"")</f>
        <v>0.6</v>
      </c>
      <c r="Z41" s="28" t="str">
        <f t="shared" si="23"/>
        <v>Media</v>
      </c>
      <c r="AA41" s="26">
        <f>+Y41</f>
        <v>0.6</v>
      </c>
      <c r="AB41" s="28" t="str">
        <f>IFERROR(IF(AC41="","",IF(AC41&lt;=0.2,"Leve",IF(AC41&lt;=0.4,"Menor",IF(AC41&lt;=0.6,"Moderado",IF(AC41&lt;=0.8,"Mayor","Catastrófico"))))),"")</f>
        <v>Moderado</v>
      </c>
      <c r="AC41" s="26">
        <f>IFERROR(IF(Q41="Impacto",(M41-(+M41*T41)),IF(Q41="Probabilidad",M41,"")),"")</f>
        <v>0.60000000000000009</v>
      </c>
      <c r="AD41" s="271" t="str">
        <f>IFERROR(IF(AE41=0,"",IF(AND(AE41&gt;0,AE41&lt;=0.2),"Muy Baja",IF(AE41&lt;=0.4,"Baja",IF(AE41&lt;=0.6,"Media",IF(AE41&lt;=0.8,"Alta","Muy Alta"))))),"")</f>
        <v>Baja</v>
      </c>
      <c r="AE41" s="276">
        <f>MIN(Y41:Y43)</f>
        <v>0.36000000000000004</v>
      </c>
      <c r="AF41" s="271" t="str">
        <f>IFERROR(IF(AG41=0,"",IF(AND(AG41&gt;0,AG41&lt;=0.2),"Leve",IF(AG41&lt;=0.4,"Menor",IF(AG41&lt;=0.6,"Moderado",IF(AG41&lt;=0.8,"Mayor","Catastrófico"))))),"")</f>
        <v>Moderado</v>
      </c>
      <c r="AG41" s="276">
        <f>MIN(AC41:AC43)</f>
        <v>0.45000000000000007</v>
      </c>
      <c r="AH41" s="265" t="str">
        <f>IFERROR(IF(OR(AND(AD41="Muy Baja",AF41="Leve"),AND(AD41="Muy Baja",AF41="Menor"),AND(AD41="Baja",AF41="Leve")),"Bajo",IF(OR(AND(AD41="Muy Baja",AF41="Moderado"),AND(AD41="Baja",AF41="Menor"),AND(AD41="Baja",AF41="Moderado"),AND(AD41="Media",AF41="Leve"),AND(AD41="Media",AF41="Menor"),AND(AD41="Media",AF41="Moderado"),AND(AD41="Alta",AF41="Leve"),AND(AD41="Alta",AF41="Menor")),"Moderado",IF(OR(AND(AD41="Muy Baja",AF41="Mayor"),AND(AD41="Baja",AF41="Mayor"),AND(AD41="Media",AF41="Mayor"),AND(AD41="Alta",AF41="Moderado"),AND(AD41="Alta",AF41="Mayor"),AND(AD41="Muy Alta",AF41="Leve"),AND(AD41="Muy Alta",AF41="Menor"),AND(AD41="Muy Alta",AF41="Moderado"),AND(AD41="Muy Alta",AF41="Mayor")),"Alto",IF(OR(AND(AD41="Muy Baja",AF41="Catastrófico"),AND(AD41="Baja",AF41="Catastrófico"),AND(AD41="Media",AF41="Catastrófico"),AND(AD41="Alta",AF41="Catastrófico"),AND(AD41="Muy Alta",AF41="Catastrófico")),"Extremo","")))),"")</f>
        <v>Moderado</v>
      </c>
      <c r="AI41" s="267" t="s">
        <v>151</v>
      </c>
      <c r="AJ41" s="325"/>
      <c r="AK41" s="291" t="s">
        <v>268</v>
      </c>
      <c r="AL41" s="284" t="s">
        <v>269</v>
      </c>
      <c r="AM41" s="284" t="s">
        <v>657</v>
      </c>
      <c r="AN41" s="289" t="s">
        <v>658</v>
      </c>
      <c r="AO41" s="284" t="s">
        <v>152</v>
      </c>
      <c r="AP41" s="289"/>
      <c r="AQ41" s="284" t="s">
        <v>152</v>
      </c>
      <c r="AR41" s="289"/>
      <c r="AS41" s="79"/>
      <c r="AT41" s="79"/>
      <c r="AU41" s="79"/>
      <c r="AV41" s="79"/>
      <c r="AW41" s="79"/>
      <c r="AX41" s="79"/>
      <c r="AY41" s="79"/>
      <c r="AZ41" s="79"/>
      <c r="BA41" s="79"/>
      <c r="BB41" s="79"/>
      <c r="BC41" s="79"/>
      <c r="BD41" s="79"/>
      <c r="BE41" s="79"/>
      <c r="BF41" s="79"/>
    </row>
    <row r="42" spans="1:62" s="80" customFormat="1" ht="64.2" customHeight="1" x14ac:dyDescent="0.3">
      <c r="A42" s="268"/>
      <c r="B42" s="270"/>
      <c r="C42" s="270"/>
      <c r="D42" s="270"/>
      <c r="E42" s="270"/>
      <c r="F42" s="270"/>
      <c r="G42" s="270"/>
      <c r="H42" s="269" t="s">
        <v>270</v>
      </c>
      <c r="I42" s="270"/>
      <c r="J42" s="272"/>
      <c r="K42" s="275"/>
      <c r="L42" s="272"/>
      <c r="M42" s="275"/>
      <c r="N42" s="266"/>
      <c r="O42" s="25" t="s">
        <v>271</v>
      </c>
      <c r="P42" s="87" t="s">
        <v>272</v>
      </c>
      <c r="Q42" s="25" t="str">
        <f t="shared" si="22"/>
        <v>Impacto</v>
      </c>
      <c r="R42" s="76" t="s">
        <v>207</v>
      </c>
      <c r="S42" s="76" t="s">
        <v>146</v>
      </c>
      <c r="T42" s="26" t="str">
        <f t="shared" si="10"/>
        <v>25%</v>
      </c>
      <c r="U42" s="76" t="s">
        <v>147</v>
      </c>
      <c r="V42" s="76" t="s">
        <v>148</v>
      </c>
      <c r="W42" s="76" t="s">
        <v>273</v>
      </c>
      <c r="X42" s="25" t="s">
        <v>256</v>
      </c>
      <c r="Y42" s="78">
        <f>IFERROR(IF(AND(Q41="Probabilidad",Q42="Probabilidad"),(AA41-(+AA41*T42)),IF(Q42="Probabilidad",(K41-(+K41*T42)),IF(Q42="Impacto",AA41,""))),"")</f>
        <v>0.6</v>
      </c>
      <c r="Z42" s="28" t="str">
        <f t="shared" si="23"/>
        <v>Media</v>
      </c>
      <c r="AA42" s="26">
        <f t="shared" ref="AA42:AA44" si="26">+Y42</f>
        <v>0.6</v>
      </c>
      <c r="AB42" s="28" t="str">
        <f t="shared" ref="AB42:AB44" si="27">IFERROR(IF(AC42="","",IF(AC42&lt;=0.2,"Leve",IF(AC42&lt;=0.4,"Menor",IF(AC42&lt;=0.6,"Moderado",IF(AC42&lt;=0.8,"Mayor","Catastrófico"))))),"")</f>
        <v>Moderado</v>
      </c>
      <c r="AC42" s="26">
        <f>IFERROR(IF(AND(Q41="Impacto",Q42="Impacto"),(AC41-(+AC41*T42)),IF(Q42="Impacto",($M$27-(+$M$27*T42)),IF(Q42="Probabilidad",AC41,""))),"")</f>
        <v>0.45000000000000007</v>
      </c>
      <c r="AD42" s="272"/>
      <c r="AE42" s="277"/>
      <c r="AF42" s="272"/>
      <c r="AG42" s="277"/>
      <c r="AH42" s="266"/>
      <c r="AI42" s="268"/>
      <c r="AJ42" s="326"/>
      <c r="AK42" s="292"/>
      <c r="AL42" s="284"/>
      <c r="AM42" s="285"/>
      <c r="AN42" s="289"/>
      <c r="AO42" s="285"/>
      <c r="AP42" s="289"/>
      <c r="AQ42" s="285"/>
      <c r="AR42" s="289"/>
      <c r="AS42" s="79"/>
      <c r="AT42" s="79"/>
      <c r="AU42" s="79"/>
      <c r="AV42" s="79"/>
      <c r="AW42" s="79"/>
      <c r="AX42" s="79"/>
      <c r="AY42" s="79"/>
      <c r="AZ42" s="79"/>
      <c r="BA42" s="79"/>
      <c r="BB42" s="79"/>
      <c r="BC42" s="79"/>
      <c r="BD42" s="79"/>
      <c r="BE42" s="79"/>
      <c r="BF42" s="79"/>
    </row>
    <row r="43" spans="1:62" s="80" customFormat="1" ht="64.2" customHeight="1" x14ac:dyDescent="0.3">
      <c r="A43" s="268"/>
      <c r="B43" s="270"/>
      <c r="C43" s="270"/>
      <c r="D43" s="270"/>
      <c r="E43" s="270"/>
      <c r="F43" s="270"/>
      <c r="G43" s="270"/>
      <c r="H43" s="273"/>
      <c r="I43" s="270"/>
      <c r="J43" s="272"/>
      <c r="K43" s="275"/>
      <c r="L43" s="272"/>
      <c r="M43" s="275"/>
      <c r="N43" s="266"/>
      <c r="O43" s="25" t="s">
        <v>274</v>
      </c>
      <c r="P43" s="87" t="s">
        <v>275</v>
      </c>
      <c r="Q43" s="25" t="str">
        <f t="shared" si="22"/>
        <v>Probabilidad</v>
      </c>
      <c r="R43" s="76" t="s">
        <v>145</v>
      </c>
      <c r="S43" s="76" t="s">
        <v>146</v>
      </c>
      <c r="T43" s="26" t="str">
        <f t="shared" si="10"/>
        <v>40%</v>
      </c>
      <c r="U43" s="76" t="s">
        <v>147</v>
      </c>
      <c r="V43" s="76" t="s">
        <v>148</v>
      </c>
      <c r="W43" s="76" t="s">
        <v>273</v>
      </c>
      <c r="X43" s="82" t="s">
        <v>256</v>
      </c>
      <c r="Y43" s="78">
        <f>IFERROR(IF(AND(Q42="Probabilidad",Q43="Probabilidad"),(AA42-(+AA42*T43)),IF(AND(Q42="Impacto",Q43="Probabilidad"),(AC41-(+AC41*T43)),IF(Q43="Impacto",AA42,""))),"")</f>
        <v>0.36000000000000004</v>
      </c>
      <c r="Z43" s="28" t="str">
        <f t="shared" si="23"/>
        <v>Baja</v>
      </c>
      <c r="AA43" s="26">
        <f t="shared" si="26"/>
        <v>0.36000000000000004</v>
      </c>
      <c r="AB43" s="28" t="str">
        <f t="shared" si="27"/>
        <v>Moderado</v>
      </c>
      <c r="AC43" s="26">
        <f>IFERROR(IF(AND(Q42="Impacto",Q43="Impacto"),(AC42-(+AC42*T43)),IF(AND(Q42="Probabilidad",Q43="Impacto"),(AC41-(+AC41*T43)),IF(Q43="Probabilidad",AC42,""))),"")</f>
        <v>0.45000000000000007</v>
      </c>
      <c r="AD43" s="272"/>
      <c r="AE43" s="277"/>
      <c r="AF43" s="272"/>
      <c r="AG43" s="277"/>
      <c r="AH43" s="266"/>
      <c r="AI43" s="268"/>
      <c r="AJ43" s="326"/>
      <c r="AK43" s="292"/>
      <c r="AL43" s="284"/>
      <c r="AM43" s="285"/>
      <c r="AN43" s="289"/>
      <c r="AO43" s="285"/>
      <c r="AP43" s="289"/>
      <c r="AQ43" s="285"/>
      <c r="AR43" s="289"/>
      <c r="AS43" s="79"/>
      <c r="AT43" s="79"/>
      <c r="AU43" s="79"/>
      <c r="AV43" s="79"/>
      <c r="AW43" s="79"/>
      <c r="AX43" s="79"/>
      <c r="AY43" s="79"/>
      <c r="AZ43" s="79"/>
      <c r="BA43" s="79"/>
      <c r="BB43" s="79"/>
      <c r="BC43" s="79"/>
      <c r="BD43" s="79"/>
      <c r="BE43" s="79"/>
      <c r="BF43" s="79"/>
    </row>
    <row r="44" spans="1:62" s="80" customFormat="1" ht="130.94999999999999" customHeight="1" x14ac:dyDescent="0.3">
      <c r="A44" s="290"/>
      <c r="B44" s="273"/>
      <c r="C44" s="273"/>
      <c r="D44" s="273"/>
      <c r="E44" s="273"/>
      <c r="F44" s="273"/>
      <c r="G44" s="273"/>
      <c r="H44" s="87" t="s">
        <v>276</v>
      </c>
      <c r="I44" s="273"/>
      <c r="J44" s="278"/>
      <c r="K44" s="279"/>
      <c r="L44" s="278"/>
      <c r="M44" s="279"/>
      <c r="N44" s="280"/>
      <c r="O44" s="25">
        <v>3</v>
      </c>
      <c r="P44" s="84" t="s">
        <v>277</v>
      </c>
      <c r="Q44" s="25" t="str">
        <f t="shared" si="22"/>
        <v>Probabilidad</v>
      </c>
      <c r="R44" s="76" t="s">
        <v>145</v>
      </c>
      <c r="S44" s="76" t="s">
        <v>146</v>
      </c>
      <c r="T44" s="26" t="str">
        <f t="shared" si="10"/>
        <v>40%</v>
      </c>
      <c r="U44" s="76" t="s">
        <v>147</v>
      </c>
      <c r="V44" s="76" t="s">
        <v>148</v>
      </c>
      <c r="W44" s="76" t="s">
        <v>149</v>
      </c>
      <c r="X44" s="87" t="s">
        <v>278</v>
      </c>
      <c r="Y44" s="78">
        <f>IFERROR(IF(AND(Q43="Probabilidad",Q44="Probabilidad"),(AA43-(+AA43*T44)),IF(AND(Q43="Impacto",Q44="Probabilidad"),(AC42-(+AC42*T44)),IF(Q44="Impacto",AA43,""))),"")</f>
        <v>0.21600000000000003</v>
      </c>
      <c r="Z44" s="28" t="str">
        <f t="shared" si="23"/>
        <v>Baja</v>
      </c>
      <c r="AA44" s="26">
        <f t="shared" si="26"/>
        <v>0.21600000000000003</v>
      </c>
      <c r="AB44" s="28" t="str">
        <f t="shared" si="27"/>
        <v>Moderado</v>
      </c>
      <c r="AC44" s="26">
        <f>IFERROR(IF(AND(Q43="Impacto",Q44="Impacto"),(AC43-(+AC43*T44)),IF(AND(Q43="Probabilidad",Q44="Impacto"),(AC42-(+AC42*T44)),IF(Q44="Probabilidad",AC43,""))),"")</f>
        <v>0.45000000000000007</v>
      </c>
      <c r="AD44" s="278"/>
      <c r="AE44" s="281"/>
      <c r="AF44" s="278"/>
      <c r="AG44" s="281"/>
      <c r="AH44" s="280"/>
      <c r="AI44" s="290"/>
      <c r="AJ44" s="327"/>
      <c r="AK44" s="293"/>
      <c r="AL44" s="284"/>
      <c r="AM44" s="285"/>
      <c r="AN44" s="289"/>
      <c r="AO44" s="285"/>
      <c r="AP44" s="289"/>
      <c r="AQ44" s="285"/>
      <c r="AR44" s="289"/>
      <c r="AS44" s="79"/>
      <c r="AT44" s="79"/>
      <c r="AU44" s="79"/>
      <c r="AV44" s="79"/>
      <c r="AW44" s="79"/>
      <c r="AX44" s="79"/>
      <c r="AY44" s="79"/>
      <c r="AZ44" s="79"/>
      <c r="BA44" s="79"/>
      <c r="BB44" s="79"/>
      <c r="BC44" s="79"/>
      <c r="BD44" s="79"/>
      <c r="BE44" s="79"/>
      <c r="BF44" s="79"/>
    </row>
    <row r="45" spans="1:62" s="80" customFormat="1" ht="174.45" customHeight="1" x14ac:dyDescent="0.3">
      <c r="A45" s="303" t="s">
        <v>279</v>
      </c>
      <c r="B45" s="304" t="s">
        <v>280</v>
      </c>
      <c r="C45" s="304" t="s">
        <v>261</v>
      </c>
      <c r="D45" s="304" t="s">
        <v>187</v>
      </c>
      <c r="E45" s="304" t="s">
        <v>281</v>
      </c>
      <c r="F45" s="304" t="s">
        <v>282</v>
      </c>
      <c r="G45" s="309" t="s">
        <v>283</v>
      </c>
      <c r="H45" s="87" t="s">
        <v>284</v>
      </c>
      <c r="I45" s="269" t="s">
        <v>141</v>
      </c>
      <c r="J45" s="271" t="s">
        <v>239</v>
      </c>
      <c r="K45" s="307">
        <f>IF(J45="","",IF(J45="Muy Baja",0.2,IF(J45="Baja",0.4,IF(J45="Media",0.6,IF(J45="Alta",0.8,IF(J45="Muy Alta",1,))))))</f>
        <v>0.4</v>
      </c>
      <c r="L45" s="271" t="s">
        <v>143</v>
      </c>
      <c r="M45" s="307">
        <f>IF(L45="","",IF(L45="Leve",0.2,IF(L45="Menor",0.4,IF(L45="Moderado",0.6,IF(L45="Mayor",0.8,IF(L45="Catastrófico",1,))))))</f>
        <v>0.8</v>
      </c>
      <c r="N45" s="308" t="str">
        <f>IF(OR(AND(J45="Muy Baja",L45="Leve"),AND(J45="Muy Baja",L45="Menor"),AND(J45="Baja",L45="Leve")),"Bajo",IF(OR(AND(J45="Muy baja",L45="Moderado"),AND(J45="Baja",L45="Menor"),AND(J45="Baja",L45="Moderado"),AND(J45="Media",L45="Leve"),AND(J45="Media",L45="Menor"),AND(J45="Media",L45="Moderado"),AND(J45="Alta",L45="Leve"),AND(J45="Alta",L45="Menor")),"Moderado",IF(OR(AND(J45="Muy Baja",L45="Mayor"),AND(J45="Baja",L45="Mayor"),AND(J45="Media",L45="Mayor"),AND(J45="Alta",L45="Moderado"),AND(J45="Alta",L45="Mayor"),AND(J45="Muy Alta",L45="Leve"),AND(J45="Muy Alta",L45="Menor"),AND(J45="Muy Alta",L45="Moderado"),AND(J45="Muy Alta",L45="Mayor")),"Alto",IF(OR(AND(J45="Muy Baja",L45="Catastrófico"),AND(J45="Baja",L45="Catastrófico"),AND(J45="Media",L45="Catastrófico"),AND(J45="Alta",L45="Catastrófico"),AND(J45="Muy Alta",L45="Catastrófico")),"Extremo",""))))</f>
        <v>Alto</v>
      </c>
      <c r="O45" s="25">
        <v>1</v>
      </c>
      <c r="P45" s="83" t="s">
        <v>285</v>
      </c>
      <c r="Q45" s="25" t="str">
        <f>IF(OR(R45="Preventivo",R45="Detectivo"),"Probabilidad",IF(R45="Correctivo","Impacto",""))</f>
        <v>Probabilidad</v>
      </c>
      <c r="R45" s="76" t="s">
        <v>145</v>
      </c>
      <c r="S45" s="76" t="s">
        <v>146</v>
      </c>
      <c r="T45" s="26" t="str">
        <f t="shared" si="10"/>
        <v>40%</v>
      </c>
      <c r="U45" s="76" t="s">
        <v>147</v>
      </c>
      <c r="V45" s="76" t="s">
        <v>156</v>
      </c>
      <c r="W45" s="76" t="s">
        <v>149</v>
      </c>
      <c r="X45" s="83" t="s">
        <v>286</v>
      </c>
      <c r="Y45" s="78">
        <f>IFERROR(IF(Q45="Probabilidad",(K45-(+K45*T45)),IF(Q45="Impacto",K45,"")),"")</f>
        <v>0.24</v>
      </c>
      <c r="Z45" s="28" t="str">
        <f t="shared" si="23"/>
        <v>Baja</v>
      </c>
      <c r="AA45" s="26">
        <f>+Y45</f>
        <v>0.24</v>
      </c>
      <c r="AB45" s="28" t="str">
        <f>IFERROR(IF(AC45="","",IF(AC45&lt;=0.2,"Leve",IF(AC45&lt;=0.4,"Menor",IF(AC45&lt;=0.6,"Moderado",IF(AC45&lt;=0.8,"Mayor","Catastrófico"))))),"")</f>
        <v>Mayor</v>
      </c>
      <c r="AC45" s="26">
        <f>IFERROR(IF(Q45="Impacto",(M45-(+M45*T45)),IF(Q45="Probabilidad",M45,"")),"")</f>
        <v>0.8</v>
      </c>
      <c r="AD45" s="271" t="str">
        <f>IFERROR(IF(AE45=0,"",IF(AND(AE45&gt;0,AE45&lt;=0.2),"Muy Baja",IF(AE45&lt;=0.4,"Baja",IF(AE45&lt;=0.6,"Media",IF(AE45&lt;=0.8,"Alta","Muy Alta"))))),"")</f>
        <v>Baja</v>
      </c>
      <c r="AE45" s="276">
        <f>MIN(Y45:Y46)</f>
        <v>0.24</v>
      </c>
      <c r="AF45" s="271" t="str">
        <f>IFERROR(IF(AG45=0,"",IF(AND(AG45&gt;0,AG45&lt;=0.2),"Leve",IF(AG45&lt;=0.4,"Menor",IF(AG45&lt;=0.6,"Moderado",IF(AG45&lt;=0.8,"Mayor","Catastrófico"))))),"")</f>
        <v>Moderado</v>
      </c>
      <c r="AG45" s="276">
        <f>MIN(AC45:AC46)</f>
        <v>0.44999999999999996</v>
      </c>
      <c r="AH45" s="265" t="str">
        <f>IFERROR(IF(OR(AND(AD45="Muy Baja",AF45="Leve"),AND(AD45="Muy Baja",AF45="Menor"),AND(AD45="Baja",AF45="Leve")),"Bajo",IF(OR(AND(AD45="Muy Baja",AF45="Moderado"),AND(AD45="Baja",AF45="Menor"),AND(AD45="Baja",AF45="Moderado"),AND(AD45="Media",AF45="Leve"),AND(AD45="Media",AF45="Menor"),AND(AD45="Media",AF45="Moderado"),AND(AD45="Alta",AF45="Leve"),AND(AD45="Alta",AF45="Menor")),"Moderado",IF(OR(AND(AD45="Muy Baja",AF45="Mayor"),AND(AD45="Baja",AF45="Mayor"),AND(AD45="Media",AF45="Mayor"),AND(AD45="Alta",AF45="Moderado"),AND(AD45="Alta",AF45="Mayor"),AND(AD45="Muy Alta",AF45="Leve"),AND(AD45="Muy Alta",AF45="Menor"),AND(AD45="Muy Alta",AF45="Moderado"),AND(AD45="Muy Alta",AF45="Mayor")),"Alto",IF(OR(AND(AD45="Muy Baja",AF45="Catastrófico"),AND(AD45="Baja",AF45="Catastrófico"),AND(AD45="Media",AF45="Catastrófico"),AND(AD45="Alta",AF45="Catastrófico"),AND(AD45="Muy Alta",AF45="Catastrófico")),"Extremo","")))),"")</f>
        <v>Moderado</v>
      </c>
      <c r="AI45" s="267" t="s">
        <v>151</v>
      </c>
      <c r="AJ45" s="306"/>
      <c r="AK45" s="284" t="s">
        <v>287</v>
      </c>
      <c r="AL45" s="284" t="s">
        <v>288</v>
      </c>
      <c r="AM45" s="284" t="s">
        <v>659</v>
      </c>
      <c r="AN45" s="289" t="s">
        <v>660</v>
      </c>
      <c r="AO45" s="284" t="s">
        <v>152</v>
      </c>
      <c r="AP45" s="289"/>
      <c r="AQ45" s="284" t="s">
        <v>152</v>
      </c>
      <c r="AR45" s="289"/>
      <c r="AS45" s="79"/>
      <c r="AT45" s="79"/>
      <c r="AU45" s="79"/>
      <c r="AV45" s="79"/>
      <c r="AW45" s="79"/>
      <c r="AX45" s="79"/>
      <c r="AY45" s="79"/>
      <c r="AZ45" s="79"/>
      <c r="BA45" s="79"/>
      <c r="BB45" s="79"/>
      <c r="BC45" s="79"/>
      <c r="BD45" s="79"/>
      <c r="BE45" s="79"/>
      <c r="BF45" s="79"/>
    </row>
    <row r="46" spans="1:62" s="80" customFormat="1" ht="223.95" customHeight="1" x14ac:dyDescent="0.3">
      <c r="A46" s="303"/>
      <c r="B46" s="304"/>
      <c r="C46" s="304"/>
      <c r="D46" s="304"/>
      <c r="E46" s="304"/>
      <c r="F46" s="304"/>
      <c r="G46" s="309"/>
      <c r="H46" s="98" t="s">
        <v>289</v>
      </c>
      <c r="I46" s="270"/>
      <c r="J46" s="272"/>
      <c r="K46" s="307"/>
      <c r="L46" s="272"/>
      <c r="M46" s="307"/>
      <c r="N46" s="308"/>
      <c r="O46" s="25">
        <v>2</v>
      </c>
      <c r="P46" s="87" t="s">
        <v>644</v>
      </c>
      <c r="Q46" s="25" t="str">
        <f t="shared" ref="Q46:Q49" si="28">IF(OR(R46="Preventivo",R46="Detectivo"),"Probabilidad",IF(R46="Correctivo","Impacto",""))</f>
        <v>Impacto</v>
      </c>
      <c r="R46" s="76" t="s">
        <v>207</v>
      </c>
      <c r="S46" s="76" t="s">
        <v>146</v>
      </c>
      <c r="T46" s="26" t="str">
        <f t="shared" si="10"/>
        <v>25%</v>
      </c>
      <c r="U46" s="76" t="s">
        <v>147</v>
      </c>
      <c r="V46" s="76" t="s">
        <v>156</v>
      </c>
      <c r="W46" s="76" t="s">
        <v>149</v>
      </c>
      <c r="X46" s="25" t="s">
        <v>290</v>
      </c>
      <c r="Y46" s="78">
        <f>IFERROR(IF(AND(Q45="Probabilidad",Q46="Probabilidad"),(AA45-(+AA45*T46)),IF(Q46="Probabilidad",(K45-(+K45*T46)),IF(Q46="Impacto",AA45,""))),"")</f>
        <v>0.24</v>
      </c>
      <c r="Z46" s="28" t="str">
        <f t="shared" si="23"/>
        <v>Baja</v>
      </c>
      <c r="AA46" s="26">
        <f t="shared" ref="AA46" si="29">+Y46</f>
        <v>0.24</v>
      </c>
      <c r="AB46" s="28" t="str">
        <f t="shared" ref="AB46" si="30">IFERROR(IF(AC46="","",IF(AC46&lt;=0.2,"Leve",IF(AC46&lt;=0.4,"Menor",IF(AC46&lt;=0.6,"Moderado",IF(AC46&lt;=0.8,"Mayor","Catastrófico"))))),"")</f>
        <v>Moderado</v>
      </c>
      <c r="AC46" s="26">
        <f>IFERROR(IF(AND(Q45="Impacto",Q46="Impacto"),(AC45-(+AC45*T46)),IF(Q46="Impacto",($M$27-(+$M$27*T46)),IF(Q46="Probabilidad",AC45,""))),"")</f>
        <v>0.44999999999999996</v>
      </c>
      <c r="AD46" s="272"/>
      <c r="AE46" s="277"/>
      <c r="AF46" s="272"/>
      <c r="AG46" s="277"/>
      <c r="AH46" s="266"/>
      <c r="AI46" s="268"/>
      <c r="AJ46" s="306"/>
      <c r="AK46" s="285"/>
      <c r="AL46" s="284"/>
      <c r="AM46" s="285"/>
      <c r="AN46" s="289"/>
      <c r="AO46" s="285"/>
      <c r="AP46" s="289"/>
      <c r="AQ46" s="285"/>
      <c r="AR46" s="289"/>
      <c r="AS46" s="79"/>
      <c r="AT46" s="79"/>
      <c r="AU46" s="79"/>
      <c r="AV46" s="79"/>
      <c r="AW46" s="79"/>
      <c r="AX46" s="79"/>
      <c r="AY46" s="79"/>
      <c r="AZ46" s="79"/>
      <c r="BA46" s="79"/>
      <c r="BB46" s="79"/>
      <c r="BC46" s="79"/>
      <c r="BD46" s="79"/>
      <c r="BE46" s="79"/>
      <c r="BF46" s="79"/>
    </row>
    <row r="47" spans="1:62" ht="342" hidden="1" customHeight="1" x14ac:dyDescent="0.25">
      <c r="A47" s="294" t="s">
        <v>212</v>
      </c>
      <c r="B47" s="296" t="s">
        <v>291</v>
      </c>
      <c r="C47" s="296" t="s">
        <v>292</v>
      </c>
      <c r="D47" s="296" t="s">
        <v>213</v>
      </c>
      <c r="E47" s="298" t="s">
        <v>293</v>
      </c>
      <c r="F47" s="300" t="s">
        <v>294</v>
      </c>
      <c r="G47" s="296" t="s">
        <v>295</v>
      </c>
      <c r="H47" s="74" t="s">
        <v>296</v>
      </c>
      <c r="I47" s="269" t="s">
        <v>297</v>
      </c>
      <c r="J47" s="271" t="s">
        <v>217</v>
      </c>
      <c r="K47" s="307">
        <f>IF(J47="","",IF(J47="Muy Baja",0.2,IF(J47="Baja",0.4,IF(J47="Media",0.6,IF(J47="Alta",0.8,IF(J47="Muy Alta",1,))))))</f>
        <v>1</v>
      </c>
      <c r="L47" s="271" t="s">
        <v>143</v>
      </c>
      <c r="M47" s="307">
        <f>IF(L47="","",IF(L47="Leve",0.2,IF(L47="Menor",0.4,IF(L47="Moderado",0.6,IF(L47="Mayor",0.8,IF(L47="Catastrófico",1,))))))</f>
        <v>0.8</v>
      </c>
      <c r="N47" s="308" t="str">
        <f>IF(OR(AND(J47="Muy Baja",L47="Leve"),AND(J47="Muy Baja",L47="Menor"),AND(J47="Baja",L47="Leve")),"Bajo",IF(OR(AND(J47="Muy Baja",L47="Moderado"),AND(J47="Baja",L47="Menor"),AND(J47="Baja",L47="Moderado"),AND(J47="Media",L47="Leve"),AND(J47="Media",L47="Menor"),AND(J47="Media",L47="Moderado"),AND(J47="Alta",L47="Leve"),AND(J47="Alta",L47="Menor")),"Moderado",IF(OR(AND(J47="Muy Baja",L47="Mayor"),AND(J47="Baja",L47="Mayor"),AND(J47="Media",L47="Mayor"),AND(J47="Alta",L47="Moderado"),AND(J47="Alta",L47="Mayor"),AND(J47="Muy Alta",L47="Leve"),AND(J47="Muy Alta",L47="Menor"),AND(J47="Muy Alta",L47="Moderado"),AND(J47="Muy Alta",L47="Mayor")),"Alto",IF(OR(AND(J47="Muy Baja",L47="Catastrófico"),AND(J47="Baja",L47="Catastrófico"),AND(J47="Media",L47="Catastrófico"),AND(J47="Alta",L47="Catastrófico"),AND(J47="Muy Alta",L47="Catastrófico")),"Extremo",""))))</f>
        <v>Alto</v>
      </c>
      <c r="O47" s="25">
        <v>1</v>
      </c>
      <c r="P47" s="75" t="s">
        <v>298</v>
      </c>
      <c r="Q47" s="25" t="str">
        <f t="shared" si="28"/>
        <v/>
      </c>
      <c r="R47" s="76" t="s">
        <v>219</v>
      </c>
      <c r="S47" s="76" t="s">
        <v>219</v>
      </c>
      <c r="T47" s="26" t="str">
        <f>IF(AND(R47="Preventivo",S47="Automático"),"50%",IF(AND(R47="Preventivo",S47="Manual"),"40%",IF(AND(R47="Detectivo",S47="Automático"),"40%",IF(AND(R47="Detectivo",S47="Manual"),"30%",IF(AND(R47="Correctivo",S47="Automático"),"35%",IF(AND(R47="Correctivo",S47="Manual"),"25%",""))))))</f>
        <v/>
      </c>
      <c r="U47" s="76" t="s">
        <v>219</v>
      </c>
      <c r="V47" s="76" t="s">
        <v>219</v>
      </c>
      <c r="W47" s="76" t="s">
        <v>219</v>
      </c>
      <c r="X47" s="83" t="s">
        <v>219</v>
      </c>
      <c r="Y47" s="78">
        <f>K47</f>
        <v>1</v>
      </c>
      <c r="Z47" s="28" t="str">
        <f t="shared" si="23"/>
        <v>Muy Alta</v>
      </c>
      <c r="AA47" s="26">
        <f>+Y47</f>
        <v>1</v>
      </c>
      <c r="AB47" s="28" t="str">
        <f>IFERROR(IF(AC47="","",IF(AC47&lt;=0.2,"Leve",IF(AC47&lt;=0.4,"Menor",IF(AC47&lt;=0.6,"Moderado",IF(AC47&lt;=0.8,"Mayor","Catastrófico"))))),"")</f>
        <v>Mayor</v>
      </c>
      <c r="AC47" s="26">
        <f>M47</f>
        <v>0.8</v>
      </c>
      <c r="AD47" s="271" t="str">
        <f>IFERROR(IF(AE47=0,"",IF(AND(AE47&gt;0,AE47&lt;=0.2),"Muy Baja",IF(AE47&lt;=0.4,"Baja",IF(AE47&lt;=0.6,"Media",IF(AE47&lt;=0.8,"Alta","Muy Alta"))))),"")</f>
        <v>Baja</v>
      </c>
      <c r="AE47" s="276">
        <f>MIN(Y47:Y49)</f>
        <v>0.3</v>
      </c>
      <c r="AF47" s="271" t="str">
        <f>IFERROR(IF(AG47=0,"",IF(AND(AG47&gt;0,AG47&lt;=0.2),"Leve",IF(AG47&lt;=0.4,"Menor",IF(AG47&lt;=0.6,"Moderado",IF(AG47&lt;=0.8,"Mayor","Catastrófico"))))),"")</f>
        <v>Mayor</v>
      </c>
      <c r="AG47" s="276">
        <f>MIN(AC47:AC49)</f>
        <v>0.8</v>
      </c>
      <c r="AH47" s="265" t="str">
        <f>IFERROR(IF(OR(AND(AD47="Muy Baja",AF47="Leve"),AND(AD47="Muy Baja",AF47="Menor"),AND(AD47="Baja",AF47="Leve")),"Bajo",IF(OR(AND(AD47="Muy Baja",AF47="Moderado"),AND(AD47="Baja",AF47="Menor"),AND(AD47="Baja",AF47="Moderado"),AND(AD47="Media",AF47="Leve"),AND(AD47="Media",AF47="Menor"),AND(AD47="Media",AF47="Moderado"),AND(AD47="Alta",AF47="Leve"),AND(AD47="Alta",AF47="Menor")),"Moderado",IF(OR(AND(AD47="Muy Baja",AF47="Mayor"),AND(AD47="Baja",AF47="Mayor"),AND(AD47="Media",AF47="Mayor"),AND(AD47="Alta",AF47="Moderado"),AND(AD47="Alta",AF47="Mayor"),AND(AD47="Muy Alta",AF47="Leve"),AND(AD47="Muy Alta",AF47="Menor"),AND(AD47="Muy Alta",AF47="Moderado"),AND(AD47="Muy Alta",AF47="Mayor")),"Alto",IF(OR(AND(AD47="Muy Baja",AF47="Catastrófico"),AND(AD47="Baja",AF47="Catastrófico"),AND(AD47="Media",AF47="Catastrófico"),AND(AD47="Alta",AF47="Catastrófico"),AND(AD47="Muy Alta",AF47="Catastrófico")),"Extremo","")))),"")</f>
        <v>Alto</v>
      </c>
      <c r="AI47" s="267"/>
      <c r="AJ47" s="82" t="s">
        <v>299</v>
      </c>
      <c r="AK47" s="99"/>
      <c r="AL47" s="99"/>
      <c r="AM47" s="99"/>
      <c r="AN47" s="99"/>
      <c r="AO47" s="99"/>
      <c r="AP47" s="99"/>
      <c r="AQ47" s="112"/>
      <c r="AR47" s="99"/>
      <c r="AS47" s="61"/>
      <c r="AT47" s="61"/>
      <c r="AU47" s="61"/>
      <c r="AV47" s="61"/>
      <c r="AW47" s="61"/>
      <c r="AX47" s="61"/>
      <c r="AY47" s="61"/>
      <c r="AZ47" s="61"/>
      <c r="BA47" s="61"/>
      <c r="BB47" s="61"/>
      <c r="BC47" s="61"/>
      <c r="BD47" s="61"/>
      <c r="BE47" s="61"/>
      <c r="BF47" s="61"/>
    </row>
    <row r="48" spans="1:62" ht="295.2" hidden="1" customHeight="1" x14ac:dyDescent="0.25">
      <c r="A48" s="295"/>
      <c r="B48" s="297"/>
      <c r="C48" s="297"/>
      <c r="D48" s="297"/>
      <c r="E48" s="299"/>
      <c r="F48" s="301"/>
      <c r="G48" s="297"/>
      <c r="H48" s="81" t="s">
        <v>300</v>
      </c>
      <c r="I48" s="270"/>
      <c r="J48" s="272"/>
      <c r="K48" s="307"/>
      <c r="L48" s="272"/>
      <c r="M48" s="307"/>
      <c r="N48" s="308"/>
      <c r="O48" s="25">
        <v>2</v>
      </c>
      <c r="P48" s="75" t="s">
        <v>301</v>
      </c>
      <c r="Q48" s="25" t="str">
        <f t="shared" si="28"/>
        <v>Probabilidad</v>
      </c>
      <c r="R48" s="76" t="s">
        <v>145</v>
      </c>
      <c r="S48" s="76" t="s">
        <v>302</v>
      </c>
      <c r="T48" s="26" t="str">
        <f t="shared" ref="T48:T49" si="31">IF(AND(R48="Preventivo",S48="Automático"),"50%",IF(AND(R48="Preventivo",S48="Manual"),"40%",IF(AND(R48="Detectivo",S48="Automático"),"40%",IF(AND(R48="Detectivo",S48="Manual"),"30%",IF(AND(R48="Correctivo",S48="Automático"),"35%",IF(AND(R48="Correctivo",S48="Manual"),"25%",""))))))</f>
        <v>50%</v>
      </c>
      <c r="U48" s="76" t="s">
        <v>147</v>
      </c>
      <c r="V48" s="76" t="s">
        <v>156</v>
      </c>
      <c r="W48" s="76" t="s">
        <v>149</v>
      </c>
      <c r="X48" s="82" t="s">
        <v>303</v>
      </c>
      <c r="Y48" s="78">
        <f>IFERROR(IF(AND(Q47="Probabilidad",Q48="Probabilidad"),(AA47-(+AA47*T48)),IF(Q48="Probabilidad",(K47-(+K47*T48)),IF(Q48="Impacto",AA47,""))),"")</f>
        <v>0.5</v>
      </c>
      <c r="Z48" s="28" t="str">
        <f t="shared" si="23"/>
        <v>Media</v>
      </c>
      <c r="AA48" s="26">
        <f t="shared" ref="AA48:AA49" si="32">+Y48</f>
        <v>0.5</v>
      </c>
      <c r="AB48" s="28" t="str">
        <f t="shared" ref="AB48:AB49" si="33">IFERROR(IF(AC48="","",IF(AC48&lt;=0.2,"Leve",IF(AC48&lt;=0.4,"Menor",IF(AC48&lt;=0.6,"Moderado",IF(AC48&lt;=0.8,"Mayor","Catastrófico"))))),"")</f>
        <v>Mayor</v>
      </c>
      <c r="AC48" s="26">
        <f>IFERROR(IF(AND(Q47="Impacto",Q48="Impacto"),(AC47-(+AC47*T48)),IF(Q48="Impacto",($M$27-(+$M$27*T48)),IF(Q48="Probabilidad",AC47,""))),"")</f>
        <v>0.8</v>
      </c>
      <c r="AD48" s="272"/>
      <c r="AE48" s="277"/>
      <c r="AF48" s="272"/>
      <c r="AG48" s="277"/>
      <c r="AH48" s="266"/>
      <c r="AI48" s="268"/>
      <c r="AJ48" s="82" t="s">
        <v>304</v>
      </c>
      <c r="AK48" s="99"/>
      <c r="AL48" s="99"/>
      <c r="AM48" s="99"/>
      <c r="AN48" s="99"/>
      <c r="AO48" s="99"/>
      <c r="AP48" s="99"/>
      <c r="AQ48" s="112"/>
      <c r="AR48" s="99"/>
      <c r="AS48" s="61"/>
      <c r="AT48" s="61"/>
      <c r="AU48" s="61"/>
      <c r="AV48" s="61"/>
      <c r="AW48" s="61"/>
      <c r="AX48" s="61"/>
      <c r="AY48" s="61"/>
      <c r="AZ48" s="61"/>
      <c r="BA48" s="61"/>
      <c r="BB48" s="61"/>
      <c r="BC48" s="61"/>
      <c r="BD48" s="61"/>
      <c r="BE48" s="61"/>
      <c r="BF48" s="61"/>
    </row>
    <row r="49" spans="1:58" ht="245.7" hidden="1" customHeight="1" x14ac:dyDescent="0.25">
      <c r="A49" s="312"/>
      <c r="B49" s="297"/>
      <c r="C49" s="297"/>
      <c r="D49" s="297"/>
      <c r="E49" s="299"/>
      <c r="F49" s="301"/>
      <c r="G49" s="297"/>
      <c r="H49" s="81" t="s">
        <v>305</v>
      </c>
      <c r="I49" s="270"/>
      <c r="J49" s="272"/>
      <c r="K49" s="307"/>
      <c r="L49" s="272"/>
      <c r="M49" s="307"/>
      <c r="N49" s="308"/>
      <c r="O49" s="25">
        <v>3</v>
      </c>
      <c r="P49" s="75" t="s">
        <v>306</v>
      </c>
      <c r="Q49" s="25" t="str">
        <f t="shared" si="28"/>
        <v>Probabilidad</v>
      </c>
      <c r="R49" s="76" t="s">
        <v>145</v>
      </c>
      <c r="S49" s="76" t="s">
        <v>146</v>
      </c>
      <c r="T49" s="26" t="str">
        <f t="shared" si="31"/>
        <v>40%</v>
      </c>
      <c r="U49" s="76" t="s">
        <v>147</v>
      </c>
      <c r="V49" s="76" t="s">
        <v>148</v>
      </c>
      <c r="W49" s="76" t="s">
        <v>149</v>
      </c>
      <c r="X49" s="77" t="s">
        <v>307</v>
      </c>
      <c r="Y49" s="78">
        <f>IFERROR(IF(AND(Q48="Probabilidad",Q49="Probabilidad"),(AA48-(+AA48*T49)),IF(AND(Q48="Impacto",Q49="Probabilidad"),(AA47-(+AA47*T49)),IF(Q49="Impacto",AA48,""))),"")</f>
        <v>0.3</v>
      </c>
      <c r="Z49" s="28" t="str">
        <f t="shared" si="23"/>
        <v>Baja</v>
      </c>
      <c r="AA49" s="26">
        <f t="shared" si="32"/>
        <v>0.3</v>
      </c>
      <c r="AB49" s="28" t="str">
        <f t="shared" si="33"/>
        <v>Mayor</v>
      </c>
      <c r="AC49" s="26">
        <f>IFERROR(IF(AND(Q48="Impacto",Q49="Impacto"),(AC48-(+AC48*T49)),IF(AND(Q48="Probabilidad",Q49="Impacto"),(AC47-(+AC47*T49)),IF(Q49="Probabilidad",AC48,""))),"")</f>
        <v>0.8</v>
      </c>
      <c r="AD49" s="272"/>
      <c r="AE49" s="277"/>
      <c r="AF49" s="272"/>
      <c r="AG49" s="277"/>
      <c r="AH49" s="266"/>
      <c r="AI49" s="268"/>
      <c r="AJ49" s="82"/>
      <c r="AK49" s="99"/>
      <c r="AL49" s="99"/>
      <c r="AM49" s="99"/>
      <c r="AN49" s="99"/>
      <c r="AO49" s="99"/>
      <c r="AP49" s="99"/>
      <c r="AQ49" s="112"/>
      <c r="AR49" s="99"/>
      <c r="AS49" s="61"/>
      <c r="AT49" s="61"/>
      <c r="AU49" s="61"/>
      <c r="AV49" s="61"/>
      <c r="AW49" s="61"/>
      <c r="AX49" s="61"/>
      <c r="AY49" s="61"/>
      <c r="AZ49" s="61"/>
      <c r="BA49" s="61"/>
      <c r="BB49" s="61"/>
      <c r="BC49" s="61"/>
      <c r="BD49" s="61"/>
      <c r="BE49" s="61"/>
      <c r="BF49" s="61"/>
    </row>
    <row r="50" spans="1:58" ht="151.5" hidden="1" customHeight="1" x14ac:dyDescent="0.25">
      <c r="A50" s="303" t="s">
        <v>279</v>
      </c>
      <c r="B50" s="304" t="s">
        <v>308</v>
      </c>
      <c r="C50" s="304" t="s">
        <v>309</v>
      </c>
      <c r="D50" s="296" t="s">
        <v>310</v>
      </c>
      <c r="E50" s="296" t="s">
        <v>311</v>
      </c>
      <c r="F50" s="310" t="s">
        <v>312</v>
      </c>
      <c r="G50" s="309" t="s">
        <v>313</v>
      </c>
      <c r="H50" s="87" t="s">
        <v>314</v>
      </c>
      <c r="I50" s="269" t="s">
        <v>297</v>
      </c>
      <c r="J50" s="271" t="s">
        <v>239</v>
      </c>
      <c r="K50" s="307">
        <v>0.4</v>
      </c>
      <c r="L50" s="271" t="s">
        <v>240</v>
      </c>
      <c r="M50" s="307">
        <v>1</v>
      </c>
      <c r="N50" s="308" t="s">
        <v>315</v>
      </c>
      <c r="O50" s="25">
        <v>1.1000000000000001</v>
      </c>
      <c r="P50" s="85" t="s">
        <v>316</v>
      </c>
      <c r="Q50" s="25" t="s">
        <v>195</v>
      </c>
      <c r="R50" s="76" t="s">
        <v>145</v>
      </c>
      <c r="S50" s="76" t="s">
        <v>146</v>
      </c>
      <c r="T50" s="26" t="s">
        <v>317</v>
      </c>
      <c r="U50" s="76" t="s">
        <v>147</v>
      </c>
      <c r="V50" s="76" t="s">
        <v>148</v>
      </c>
      <c r="W50" s="76" t="s">
        <v>149</v>
      </c>
      <c r="X50" s="83" t="s">
        <v>318</v>
      </c>
      <c r="Y50" s="78">
        <f>IFERROR(IF(Q50="Probabilidad",(K50-(+K50*T50)),IF(Q50="Impacto",K50,"")),"")</f>
        <v>0.24</v>
      </c>
      <c r="Z50" s="28" t="s">
        <v>239</v>
      </c>
      <c r="AA50" s="26">
        <v>0.24</v>
      </c>
      <c r="AB50" s="28" t="s">
        <v>240</v>
      </c>
      <c r="AC50" s="26">
        <v>1</v>
      </c>
      <c r="AD50" s="271" t="s">
        <v>319</v>
      </c>
      <c r="AE50" s="276">
        <v>0.16799999999999998</v>
      </c>
      <c r="AF50" s="271" t="s">
        <v>240</v>
      </c>
      <c r="AG50" s="276">
        <v>1</v>
      </c>
      <c r="AH50" s="265" t="s">
        <v>315</v>
      </c>
      <c r="AI50" s="267" t="s">
        <v>151</v>
      </c>
      <c r="AJ50" s="86"/>
      <c r="AK50" s="99"/>
      <c r="AL50" s="99"/>
      <c r="AM50" s="99"/>
      <c r="AN50" s="99"/>
      <c r="AO50" s="99"/>
      <c r="AP50" s="99"/>
      <c r="AQ50" s="112"/>
      <c r="AR50" s="99"/>
      <c r="AS50" s="61"/>
      <c r="AT50" s="61"/>
      <c r="AU50" s="61"/>
      <c r="AV50" s="61"/>
      <c r="AW50" s="61"/>
      <c r="AX50" s="61"/>
      <c r="AY50" s="61"/>
      <c r="AZ50" s="61"/>
      <c r="BA50" s="61"/>
      <c r="BB50" s="61"/>
      <c r="BC50" s="61"/>
      <c r="BD50" s="61"/>
      <c r="BE50" s="61"/>
    </row>
    <row r="51" spans="1:58" ht="151.5" hidden="1" customHeight="1" x14ac:dyDescent="0.25">
      <c r="A51" s="303"/>
      <c r="B51" s="304"/>
      <c r="C51" s="304"/>
      <c r="D51" s="297"/>
      <c r="E51" s="297"/>
      <c r="F51" s="313"/>
      <c r="G51" s="309"/>
      <c r="H51" s="87" t="s">
        <v>320</v>
      </c>
      <c r="I51" s="270"/>
      <c r="J51" s="272"/>
      <c r="K51" s="307"/>
      <c r="L51" s="272"/>
      <c r="M51" s="307"/>
      <c r="N51" s="308"/>
      <c r="O51" s="25">
        <v>1.2</v>
      </c>
      <c r="P51" s="85" t="s">
        <v>321</v>
      </c>
      <c r="Q51" s="25" t="s">
        <v>195</v>
      </c>
      <c r="R51" s="76" t="s">
        <v>154</v>
      </c>
      <c r="S51" s="76" t="s">
        <v>146</v>
      </c>
      <c r="T51" s="26" t="s">
        <v>322</v>
      </c>
      <c r="U51" s="76" t="s">
        <v>147</v>
      </c>
      <c r="V51" s="76" t="s">
        <v>148</v>
      </c>
      <c r="W51" s="76" t="s">
        <v>149</v>
      </c>
      <c r="X51" s="83" t="s">
        <v>323</v>
      </c>
      <c r="Y51" s="78">
        <f>IFERROR(IF(AND(Q50="Probabilidad",Q51="Probabilidad"),(AA50-(+AA50*T51)),IF(Q51="Probabilidad",(K50-(+K50*T51)),IF(Q51="Impacto",AA50,""))),"")</f>
        <v>0.16799999999999998</v>
      </c>
      <c r="Z51" s="28" t="s">
        <v>319</v>
      </c>
      <c r="AA51" s="26">
        <v>0.16799999999999998</v>
      </c>
      <c r="AB51" s="28" t="s">
        <v>240</v>
      </c>
      <c r="AC51" s="26">
        <v>1</v>
      </c>
      <c r="AD51" s="272"/>
      <c r="AE51" s="277"/>
      <c r="AF51" s="272"/>
      <c r="AG51" s="277"/>
      <c r="AH51" s="266"/>
      <c r="AI51" s="268"/>
      <c r="AJ51" s="86"/>
      <c r="AK51" s="99"/>
      <c r="AL51" s="99"/>
      <c r="AM51" s="99"/>
      <c r="AN51" s="99"/>
      <c r="AO51" s="99"/>
      <c r="AP51" s="99"/>
      <c r="AQ51" s="112"/>
      <c r="AR51" s="99"/>
      <c r="AS51" s="61"/>
      <c r="AT51" s="61"/>
      <c r="AU51" s="61"/>
      <c r="AV51" s="61"/>
      <c r="AW51" s="61"/>
      <c r="AX51" s="61"/>
      <c r="AY51" s="61"/>
      <c r="AZ51" s="61"/>
      <c r="BA51" s="61"/>
      <c r="BB51" s="61"/>
      <c r="BC51" s="61"/>
      <c r="BD51" s="61"/>
      <c r="BE51" s="61"/>
    </row>
    <row r="52" spans="1:58" ht="81.45" hidden="1" customHeight="1" x14ac:dyDescent="0.25">
      <c r="A52" s="303"/>
      <c r="B52" s="304"/>
      <c r="C52" s="304"/>
      <c r="D52" s="297"/>
      <c r="E52" s="297"/>
      <c r="F52" s="313"/>
      <c r="G52" s="309"/>
      <c r="H52" s="96" t="s">
        <v>324</v>
      </c>
      <c r="I52" s="270"/>
      <c r="J52" s="272"/>
      <c r="K52" s="307"/>
      <c r="L52" s="272"/>
      <c r="M52" s="307"/>
      <c r="N52" s="308"/>
      <c r="O52" s="25">
        <v>2</v>
      </c>
      <c r="P52" s="92" t="s">
        <v>325</v>
      </c>
      <c r="Q52" s="25" t="s">
        <v>326</v>
      </c>
      <c r="R52" s="76" t="s">
        <v>219</v>
      </c>
      <c r="S52" s="76" t="s">
        <v>219</v>
      </c>
      <c r="T52" s="26" t="s">
        <v>326</v>
      </c>
      <c r="U52" s="76" t="s">
        <v>219</v>
      </c>
      <c r="V52" s="76" t="s">
        <v>219</v>
      </c>
      <c r="W52" s="76" t="s">
        <v>219</v>
      </c>
      <c r="X52" s="25" t="s">
        <v>219</v>
      </c>
      <c r="Y52" s="78">
        <f>IFERROR(IF(AND(Q51="Probabilidad",Q52="Probabilidad"),(AA51-(+AA51*T52)),IF(AND(Q51="Impacto",Q52="Probabilidad"),(AA50-(+AA50*T52)),IF(Q52="",AA51,""))),"")</f>
        <v>0.16799999999999998</v>
      </c>
      <c r="Z52" s="28" t="s">
        <v>319</v>
      </c>
      <c r="AA52" s="26">
        <v>0.16799999999999998</v>
      </c>
      <c r="AB52" s="28" t="s">
        <v>240</v>
      </c>
      <c r="AC52" s="26">
        <v>1</v>
      </c>
      <c r="AD52" s="272"/>
      <c r="AE52" s="277"/>
      <c r="AF52" s="272"/>
      <c r="AG52" s="277"/>
      <c r="AH52" s="266"/>
      <c r="AI52" s="268"/>
      <c r="AJ52" s="86"/>
      <c r="AK52" s="99"/>
      <c r="AL52" s="99"/>
      <c r="AM52" s="99"/>
      <c r="AN52" s="99"/>
      <c r="AO52" s="99"/>
      <c r="AP52" s="99"/>
      <c r="AQ52" s="112"/>
      <c r="AR52" s="99"/>
      <c r="AS52" s="61"/>
      <c r="AT52" s="61"/>
      <c r="AU52" s="61"/>
      <c r="AV52" s="61"/>
      <c r="AW52" s="61"/>
      <c r="AX52" s="61"/>
      <c r="AY52" s="61"/>
      <c r="AZ52" s="61"/>
      <c r="BA52" s="61"/>
      <c r="BB52" s="61"/>
      <c r="BC52" s="61"/>
      <c r="BD52" s="61"/>
      <c r="BE52" s="61"/>
    </row>
    <row r="53" spans="1:58" s="80" customFormat="1" ht="196.2" customHeight="1" x14ac:dyDescent="0.3">
      <c r="A53" s="303" t="s">
        <v>327</v>
      </c>
      <c r="B53" s="304" t="s">
        <v>328</v>
      </c>
      <c r="C53" s="304" t="s">
        <v>261</v>
      </c>
      <c r="D53" s="304" t="s">
        <v>187</v>
      </c>
      <c r="E53" s="304" t="s">
        <v>329</v>
      </c>
      <c r="F53" s="304" t="s">
        <v>330</v>
      </c>
      <c r="G53" s="309" t="s">
        <v>331</v>
      </c>
      <c r="H53" s="87" t="s">
        <v>332</v>
      </c>
      <c r="I53" s="269" t="s">
        <v>141</v>
      </c>
      <c r="J53" s="271" t="s">
        <v>239</v>
      </c>
      <c r="K53" s="307">
        <f>IF(J53="","",IF(J53="Muy Baja",0.2,IF(J53="Baja",0.4,IF(J53="Media",0.6,IF(J53="Alta",0.8,IF(J53="Muy Alta",1,))))))</f>
        <v>0.4</v>
      </c>
      <c r="L53" s="271" t="s">
        <v>193</v>
      </c>
      <c r="M53" s="307">
        <f>IF(L53="","",IF(L53="Leve",0.2,IF(L53="Menor",0.4,IF(L53="Moderado",0.6,IF(L53="Mayor",0.8,IF(L53="Catastrófico",1,))))))</f>
        <v>0.6</v>
      </c>
      <c r="N53" s="308" t="str">
        <f>IF(OR(AND(J53="Muy Baja",L53="Leve"),AND(J53="Muy Baja",L53="Menor"),AND(J53="Baja",L53="Leve")),"Bajo",IF(OR(AND(J53="Muy baja",L53="Moderado"),AND(J53="Baja",L53="Menor"),AND(J53="Baja",L53="Moderado"),AND(J53="Media",L53="Leve"),AND(J53="Media",L53="Menor"),AND(J53="Media",L53="Moderado"),AND(J53="Alta",L53="Leve"),AND(J53="Alta",L53="Menor")),"Moderado",IF(OR(AND(J53="Muy Baja",L53="Mayor"),AND(J53="Baja",L53="Mayor"),AND(J53="Media",L53="Mayor"),AND(J53="Alta",L53="Moderado"),AND(J53="Alta",L53="Mayor"),AND(J53="Muy Alta",L53="Leve"),AND(J53="Muy Alta",L53="Menor"),AND(J53="Muy Alta",L53="Moderado"),AND(J53="Muy Alta",L53="Mayor")),"Alto",IF(OR(AND(J53="Muy Baja",L53="Catastrófico"),AND(J53="Baja",L53="Catastrófico"),AND(J53="Media",L53="Catastrófico"),AND(J53="Alta",L53="Catastrófico"),AND(J53="Muy Alta",L53="Catastrófico")),"Extremo",""))))</f>
        <v>Moderado</v>
      </c>
      <c r="O53" s="25">
        <v>1</v>
      </c>
      <c r="P53" s="87" t="s">
        <v>333</v>
      </c>
      <c r="Q53" s="25" t="str">
        <f>IF(OR(R53="Preventivo",R53="Detectivo"),"Probabilidad",IF(R53="Correctivo","Impacto",""))</f>
        <v>Probabilidad</v>
      </c>
      <c r="R53" s="76" t="s">
        <v>145</v>
      </c>
      <c r="S53" s="76" t="s">
        <v>146</v>
      </c>
      <c r="T53" s="26" t="str">
        <f>IF(AND(R53="Preventivo",S53="Automático"),"50%",IF(AND(R53="Preventivo",S53="Manual"),"40%",IF(AND(R53="Detectivo",S53="Automático"),"40%",IF(AND(R53="Detectivo",S53="Manual"),"30%",IF(AND(R53="Correctivo",S53="Automático"),"35%",IF(AND(R53="Correctivo",S53="Manual"),"25%",""))))))</f>
        <v>40%</v>
      </c>
      <c r="U53" s="76" t="s">
        <v>147</v>
      </c>
      <c r="V53" s="76" t="s">
        <v>156</v>
      </c>
      <c r="W53" s="76" t="s">
        <v>149</v>
      </c>
      <c r="X53" s="82" t="s">
        <v>334</v>
      </c>
      <c r="Y53" s="78">
        <f>IFERROR(IF(Q54="Probabilidad",(K53-(+K53*T54)),IF(Q54="Impacto",K53,"")),"")</f>
        <v>0.24</v>
      </c>
      <c r="Z53" s="28" t="str">
        <f t="shared" ref="Z53:Z64" si="34">IFERROR(IF(Y53="","",IF(Y53&lt;=0.2,"Muy Baja",IF(Y53&lt;=0.4,"Baja",IF(Y53&lt;=0.6,"Media",IF(Y53&lt;=0.8,"Alta","Muy Alta"))))),"")</f>
        <v>Baja</v>
      </c>
      <c r="AA53" s="26">
        <f>+Y53</f>
        <v>0.24</v>
      </c>
      <c r="AB53" s="28" t="str">
        <f>IFERROR(IF(AC53="","",IF(AC53&lt;=0.2,"Leve",IF(AC53&lt;=0.4,"Menor",IF(AC53&lt;=0.6,"Moderado",IF(AC53&lt;=0.8,"Mayor","Catastrófico"))))),"")</f>
        <v>Moderado</v>
      </c>
      <c r="AC53" s="26">
        <f>IFERROR(IF(Q54="Impacto",(M53-(+M53*T54)),IF(Q54="Probabilidad",M53,"")),"")</f>
        <v>0.6</v>
      </c>
      <c r="AD53" s="271" t="str">
        <f>IFERROR(IF(AE53=0,"",IF(AND(AE53&gt;0,AE53&lt;=0.2),"Muy Baja",IF(AE53&lt;=0.4,"Baja",IF(AE53&lt;=0.6,"Media",IF(AE53&lt;=0.8,"Alta","Muy Alta"))))),"")</f>
        <v>Muy Baja</v>
      </c>
      <c r="AE53" s="276">
        <f>MIN(Y53:Y54)</f>
        <v>0.14399999999999999</v>
      </c>
      <c r="AF53" s="271" t="str">
        <f>IFERROR(IF(AG53=0,"",IF(AND(AG53&gt;0,AG53&lt;=0.2),"Leve",IF(AG53&lt;=0.4,"Menor",IF(AG53&lt;=0.6,"Moderado",IF(AG53&lt;=0.8,"Mayor","Catastrófico"))))),"")</f>
        <v>Moderado</v>
      </c>
      <c r="AG53" s="276">
        <f>MIN(AC53:AC54)</f>
        <v>0.6</v>
      </c>
      <c r="AH53" s="265" t="str">
        <f>IFERROR(IF(OR(AND(AD53="Muy Baja",AF53="Leve"),AND(AD53="Muy Baja",AF53="Menor"),AND(AD53="Baja",AF53="Leve")),"Bajo",IF(OR(AND(AD53="Muy Baja",AF53="Moderado"),AND(AD53="Baja",AF53="Menor"),AND(AD53="Baja",AF53="Moderado"),AND(AD53="Media",AF53="Leve"),AND(AD53="Media",AF53="Menor"),AND(AD53="Media",AF53="Moderado"),AND(AD53="Alta",AF53="Leve"),AND(AD53="Alta",AF53="Menor")),"Moderado",IF(OR(AND(AD53="Muy Baja",AF53="Mayor"),AND(AD53="Baja",AF53="Mayor"),AND(AD53="Media",AF53="Mayor"),AND(AD53="Alta",AF53="Moderado"),AND(AD53="Alta",AF53="Mayor"),AND(AD53="Muy Alta",AF53="Leve"),AND(AD53="Muy Alta",AF53="Menor"),AND(AD53="Muy Alta",AF53="Moderado"),AND(AD53="Muy Alta",AF53="Mayor")),"Alto",IF(OR(AND(AD53="Muy Baja",AF53="Catastrófico"),AND(AD53="Baja",AF53="Catastrófico"),AND(AD53="Media",AF53="Catastrófico"),AND(AD53="Alta",AF53="Catastrófico"),AND(AD53="Muy Alta",AF53="Catastrófico")),"Extremo","")))),"")</f>
        <v>Moderado</v>
      </c>
      <c r="AI53" s="267" t="s">
        <v>151</v>
      </c>
      <c r="AJ53" s="306"/>
      <c r="AK53" s="284" t="s">
        <v>335</v>
      </c>
      <c r="AL53" s="284" t="s">
        <v>336</v>
      </c>
      <c r="AM53" s="284" t="s">
        <v>671</v>
      </c>
      <c r="AN53" s="284" t="s">
        <v>661</v>
      </c>
      <c r="AO53" s="284" t="s">
        <v>152</v>
      </c>
      <c r="AP53" s="291"/>
      <c r="AQ53" s="284" t="s">
        <v>152</v>
      </c>
      <c r="AR53" s="291"/>
      <c r="AS53" s="79"/>
      <c r="AT53" s="79"/>
      <c r="AU53" s="79"/>
      <c r="AV53" s="79"/>
      <c r="AW53" s="79"/>
      <c r="AX53" s="79"/>
      <c r="AY53" s="79"/>
      <c r="AZ53" s="79"/>
      <c r="BA53" s="79"/>
      <c r="BB53" s="79"/>
      <c r="BC53" s="79"/>
      <c r="BD53" s="79"/>
      <c r="BE53" s="79"/>
      <c r="BF53" s="79"/>
    </row>
    <row r="54" spans="1:58" s="80" customFormat="1" ht="195" customHeight="1" x14ac:dyDescent="0.3">
      <c r="A54" s="303"/>
      <c r="B54" s="304"/>
      <c r="C54" s="304"/>
      <c r="D54" s="304"/>
      <c r="E54" s="304"/>
      <c r="F54" s="304"/>
      <c r="G54" s="309"/>
      <c r="H54" s="98" t="s">
        <v>337</v>
      </c>
      <c r="I54" s="270"/>
      <c r="J54" s="272"/>
      <c r="K54" s="307"/>
      <c r="L54" s="272"/>
      <c r="M54" s="307"/>
      <c r="N54" s="308"/>
      <c r="O54" s="25">
        <v>2</v>
      </c>
      <c r="P54" s="83" t="s">
        <v>338</v>
      </c>
      <c r="Q54" s="25" t="str">
        <f>IF(OR(R54="Preventivo",R54="Detectivo"),"Probabilidad",IF(R54="Correctivo","Impacto",""))</f>
        <v>Probabilidad</v>
      </c>
      <c r="R54" s="76" t="s">
        <v>145</v>
      </c>
      <c r="S54" s="76" t="s">
        <v>146</v>
      </c>
      <c r="T54" s="26" t="str">
        <f>IF(AND(R54="Preventivo",S54="Automático"),"50%",IF(AND(R54="Preventivo",S54="Manual"),"40%",IF(AND(R54="Detectivo",S54="Automático"),"40%",IF(AND(R54="Detectivo",S54="Manual"),"30%",IF(AND(R54="Correctivo",S54="Automático"),"35%",IF(AND(R54="Correctivo",S54="Manual"),"25%",""))))))</f>
        <v>40%</v>
      </c>
      <c r="U54" s="76" t="s">
        <v>147</v>
      </c>
      <c r="V54" s="76" t="s">
        <v>156</v>
      </c>
      <c r="W54" s="76" t="s">
        <v>149</v>
      </c>
      <c r="X54" s="83" t="s">
        <v>339</v>
      </c>
      <c r="Y54" s="78">
        <f>IFERROR(IF(AND(Q53="Probabilidad",Q54="Probabilidad"),(AA53-(+AA53*T54)),IF(Q54="Probabilidad",(K53-(+K53*T54)),IF(Q54="Impacto",AA53,""))),"")</f>
        <v>0.14399999999999999</v>
      </c>
      <c r="Z54" s="28" t="str">
        <f t="shared" si="34"/>
        <v>Muy Baja</v>
      </c>
      <c r="AA54" s="26">
        <f t="shared" ref="AA54" si="35">+Y54</f>
        <v>0.14399999999999999</v>
      </c>
      <c r="AB54" s="28" t="str">
        <f t="shared" ref="AB54" si="36">IFERROR(IF(AC54="","",IF(AC54&lt;=0.2,"Leve",IF(AC54&lt;=0.4,"Menor",IF(AC54&lt;=0.6,"Moderado",IF(AC54&lt;=0.8,"Mayor","Catastrófico"))))),"")</f>
        <v>Moderado</v>
      </c>
      <c r="AC54" s="26">
        <f>IFERROR(IF(AND(Q53="Impacto",Q54="Impacto"),(AC53-(+AC53*T54)),IF(Q54="Impacto",($M$50-(+$M$50*T54)),IF(Q54="Probabilidad",AC53,""))),"")</f>
        <v>0.6</v>
      </c>
      <c r="AD54" s="272"/>
      <c r="AE54" s="277"/>
      <c r="AF54" s="272"/>
      <c r="AG54" s="277"/>
      <c r="AH54" s="266"/>
      <c r="AI54" s="268"/>
      <c r="AJ54" s="306"/>
      <c r="AK54" s="285"/>
      <c r="AL54" s="284"/>
      <c r="AM54" s="285"/>
      <c r="AN54" s="285"/>
      <c r="AO54" s="285"/>
      <c r="AP54" s="293"/>
      <c r="AQ54" s="285"/>
      <c r="AR54" s="293"/>
      <c r="AS54" s="79"/>
      <c r="AT54" s="79"/>
      <c r="AU54" s="79"/>
      <c r="AV54" s="79"/>
      <c r="AW54" s="79"/>
      <c r="AX54" s="79"/>
      <c r="AY54" s="79"/>
      <c r="AZ54" s="79"/>
      <c r="BA54" s="79"/>
      <c r="BB54" s="79"/>
      <c r="BC54" s="79"/>
      <c r="BD54" s="79"/>
      <c r="BE54" s="79"/>
      <c r="BF54" s="79"/>
    </row>
    <row r="55" spans="1:58" s="80" customFormat="1" ht="76.2" customHeight="1" x14ac:dyDescent="0.3">
      <c r="A55" s="303" t="s">
        <v>340</v>
      </c>
      <c r="B55" s="304" t="s">
        <v>341</v>
      </c>
      <c r="C55" s="304" t="s">
        <v>342</v>
      </c>
      <c r="D55" s="304" t="s">
        <v>343</v>
      </c>
      <c r="E55" s="304" t="s">
        <v>344</v>
      </c>
      <c r="F55" s="384" t="s">
        <v>345</v>
      </c>
      <c r="G55" s="309" t="s">
        <v>346</v>
      </c>
      <c r="H55" s="236" t="s">
        <v>347</v>
      </c>
      <c r="I55" s="269" t="s">
        <v>141</v>
      </c>
      <c r="J55" s="271" t="s">
        <v>239</v>
      </c>
      <c r="K55" s="307">
        <f>IF(J55="","",IF(J55="Muy Baja",0.2,IF(J55="Baja",0.4,IF(J55="Media",0.6,IF(J55="Alta",0.8,IF(J55="Muy Alta",1,))))))</f>
        <v>0.4</v>
      </c>
      <c r="L55" s="271" t="s">
        <v>143</v>
      </c>
      <c r="M55" s="307">
        <f>IF(L55="","",IF(L55="Leve",0.2,IF(L55="Menor",0.4,IF(L55="Moderado",0.6,IF(L55="Mayor",0.8,IF(L55="Catastrófico",1,))))))</f>
        <v>0.8</v>
      </c>
      <c r="N55" s="308" t="str">
        <f>IF(OR(AND(J55="Muy Baja",L55="Leve"),AND(J55="Muy Baja",L55="Menor"),AND(J55="Baja",L55="Leve")),"Bajo",IF(OR(AND(J55="Muy baja",L55="Moderado"),AND(J55="Baja",L55="Menor"),AND(J55="Baja",L55="Moderado"),AND(J55="Media",L55="Leve"),AND(J55="Media",L55="Menor"),AND(J55="Media",L55="Moderado"),AND(J55="Alta",L55="Leve"),AND(J55="Alta",L55="Menor")),"Moderado",IF(OR(AND(J55="Muy Baja",L55="Mayor"),AND(J55="Baja",L55="Mayor"),AND(J55="Media",L55="Mayor"),AND(J55="Alta",L55="Moderado"),AND(J55="Alta",L55="Mayor"),AND(J55="Muy Alta",L55="Leve"),AND(J55="Muy Alta",L55="Menor"),AND(J55="Muy Alta",L55="Moderado"),AND(J55="Muy Alta",L55="Mayor")),"Alto",IF(OR(AND(J55="Muy Baja",L55="Catastrófico"),AND(J55="Baja",L55="Catastrófico"),AND(J55="Media",L55="Catastrófico"),AND(J55="Alta",L55="Catastrófico"),AND(J55="Muy Alta",L55="Catastrófico")),"Extremo",""))))</f>
        <v>Alto</v>
      </c>
      <c r="O55" s="25">
        <v>1</v>
      </c>
      <c r="P55" s="106" t="s">
        <v>664</v>
      </c>
      <c r="Q55" s="25" t="str">
        <f t="shared" ref="Q55:Q58" si="37">IF(OR(R55="Preventivo",R55="Detectivo"),"Probabilidad",IF(R55="Correctivo","Impacto",""))</f>
        <v>Probabilidad</v>
      </c>
      <c r="R55" s="76" t="s">
        <v>154</v>
      </c>
      <c r="S55" s="76" t="s">
        <v>146</v>
      </c>
      <c r="T55" s="26" t="str">
        <f t="shared" ref="T55:T61" si="38">IF(AND(R55="Preventivo",S55="Automático"),"50%",IF(AND(R55="Preventivo",S55="Manual"),"40%",IF(AND(R55="Detectivo",S55="Automático"),"40%",IF(AND(R55="Detectivo",S55="Manual"),"30%",IF(AND(R55="Correctivo",S55="Automático"),"35%",IF(AND(R55="Correctivo",S55="Manual"),"25%",""))))))</f>
        <v>30%</v>
      </c>
      <c r="U55" s="76" t="s">
        <v>155</v>
      </c>
      <c r="V55" s="76" t="s">
        <v>156</v>
      </c>
      <c r="W55" s="76" t="s">
        <v>149</v>
      </c>
      <c r="X55" s="83" t="s">
        <v>350</v>
      </c>
      <c r="Y55" s="78">
        <f>IFERROR(IF(Q55="Probabilidad",(K55-(+K55*T55)),IF(Q55="Impacto",K55,"")),"")</f>
        <v>0.28000000000000003</v>
      </c>
      <c r="Z55" s="28" t="str">
        <f t="shared" si="34"/>
        <v>Baja</v>
      </c>
      <c r="AA55" s="26">
        <f>+Y55</f>
        <v>0.28000000000000003</v>
      </c>
      <c r="AB55" s="28" t="str">
        <f>IFERROR(IF(AC55="","",IF(AC55&lt;=0.2,"Leve",IF(AC55&lt;=0.4,"Menor",IF(AC55&lt;=0.6,"Moderado",IF(AC55&lt;=0.8,"Mayor","Catastrófico"))))),"")</f>
        <v>Mayor</v>
      </c>
      <c r="AC55" s="26">
        <f>IFERROR(IF(Q55="Impacto",(M55-(+M55*T55)),IF(Q55="Probabilidad",M55,"")),"")</f>
        <v>0.8</v>
      </c>
      <c r="AD55" s="271" t="str">
        <f>IFERROR(IF(AE55=0,"",IF(AND(AE55&gt;0,AE55&lt;=0.2),"Muy Baja",IF(AE55&lt;=0.4,"Baja",IF(AE55&lt;=0.6,"Media",IF(AE55&lt;=0.8,"Alta","Muy Alta"))))),"")</f>
        <v>Muy Baja</v>
      </c>
      <c r="AE55" s="276">
        <f>MIN(Y55:Y63)</f>
        <v>1.0668671999999997E-2</v>
      </c>
      <c r="AF55" s="271" t="str">
        <f>IFERROR(IF(AG55=0,"",IF(AND(AG55&gt;0,AG55&lt;=0.2),"Leve",IF(AG55&lt;=0.4,"Menor",IF(AG55&lt;=0.6,"Moderado",IF(AG55&lt;=0.8,"Mayor","Catastrófico"))))),"")</f>
        <v>Mayor</v>
      </c>
      <c r="AG55" s="276">
        <f>MIN(AC55:AC63)</f>
        <v>0.8</v>
      </c>
      <c r="AH55" s="265" t="str">
        <f>IFERROR(IF(OR(AND(AD55="Muy Baja",AF55="Leve"),AND(AD55="Muy Baja",AF55="Menor"),AND(AD55="Baja",AF55="Leve")),"Bajo",IF(OR(AND(AD55="Muy Baja",AF55="Moderado"),AND(AD55="Baja",AF55="Menor"),AND(AD55="Baja",AF55="Moderado"),AND(AD55="Media",AF55="Leve"),AND(AD55="Media",AF55="Menor"),AND(AD55="Media",AF55="Moderado"),AND(AD55="Alta",AF55="Leve"),AND(AD55="Alta",AF55="Menor")),"Moderado",IF(OR(AND(AD55="Muy Baja",AF55="Mayor"),AND(AD55="Baja",AF55="Mayor"),AND(AD55="Media",AF55="Mayor"),AND(AD55="Alta",AF55="Moderado"),AND(AD55="Alta",AF55="Mayor"),AND(AD55="Muy Alta",AF55="Leve"),AND(AD55="Muy Alta",AF55="Menor"),AND(AD55="Muy Alta",AF55="Moderado"),AND(AD55="Muy Alta",AF55="Mayor")),"Alto",IF(OR(AND(AD55="Muy Baja",AF55="Catastrófico"),AND(AD55="Baja",AF55="Catastrófico"),AND(AD55="Media",AF55="Catastrófico"),AND(AD55="Alta",AF55="Catastrófico"),AND(AD55="Muy Alta",AF55="Catastrófico")),"Extremo","")))),"")</f>
        <v>Alto</v>
      </c>
      <c r="AI55" s="267" t="s">
        <v>151</v>
      </c>
      <c r="AJ55" s="306"/>
      <c r="AK55" s="388" t="s">
        <v>348</v>
      </c>
      <c r="AL55" s="291" t="s">
        <v>349</v>
      </c>
      <c r="AM55" s="385" t="s">
        <v>662</v>
      </c>
      <c r="AN55" s="291" t="s">
        <v>663</v>
      </c>
      <c r="AO55" s="388" t="s">
        <v>152</v>
      </c>
      <c r="AP55" s="400"/>
      <c r="AQ55" s="388" t="s">
        <v>152</v>
      </c>
      <c r="AR55" s="400"/>
      <c r="AS55" s="79"/>
      <c r="AT55" s="79"/>
      <c r="AU55" s="79"/>
      <c r="AV55" s="79"/>
      <c r="AW55" s="79"/>
      <c r="AX55" s="79"/>
      <c r="AY55" s="79"/>
      <c r="AZ55" s="79"/>
      <c r="BA55" s="79"/>
      <c r="BB55" s="79"/>
      <c r="BC55" s="79"/>
      <c r="BD55" s="79"/>
      <c r="BE55" s="79"/>
      <c r="BF55" s="79"/>
    </row>
    <row r="56" spans="1:58" s="80" customFormat="1" ht="88.8" customHeight="1" x14ac:dyDescent="0.3">
      <c r="A56" s="303"/>
      <c r="B56" s="304"/>
      <c r="C56" s="304"/>
      <c r="D56" s="304"/>
      <c r="E56" s="304"/>
      <c r="F56" s="384"/>
      <c r="G56" s="309"/>
      <c r="H56" s="236" t="s">
        <v>351</v>
      </c>
      <c r="I56" s="270"/>
      <c r="J56" s="272"/>
      <c r="K56" s="307"/>
      <c r="L56" s="272"/>
      <c r="M56" s="307"/>
      <c r="N56" s="308"/>
      <c r="O56" s="25">
        <v>2</v>
      </c>
      <c r="P56" s="106" t="s">
        <v>665</v>
      </c>
      <c r="Q56" s="25" t="str">
        <f>IF(OR(R56="Preventivo",R56="Detectivo"),"Probabilidad",IF(R56="Correctivo","Impacto",""))</f>
        <v>Probabilidad</v>
      </c>
      <c r="R56" s="76" t="s">
        <v>145</v>
      </c>
      <c r="S56" s="76" t="s">
        <v>146</v>
      </c>
      <c r="T56" s="26" t="str">
        <f t="shared" ref="T56" si="39">IF(AND(R56="Preventivo",S56="Automático"),"50%",IF(AND(R56="Preventivo",S56="Manual"),"40%",IF(AND(R56="Detectivo",S56="Automático"),"40%",IF(AND(R56="Detectivo",S56="Manual"),"30%",IF(AND(R56="Correctivo",S56="Automático"),"35%",IF(AND(R56="Correctivo",S56="Manual"),"25%",""))))))</f>
        <v>40%</v>
      </c>
      <c r="U56" s="76" t="s">
        <v>155</v>
      </c>
      <c r="V56" s="76" t="s">
        <v>156</v>
      </c>
      <c r="W56" s="76" t="s">
        <v>149</v>
      </c>
      <c r="X56" s="83" t="s">
        <v>352</v>
      </c>
      <c r="Y56" s="78">
        <f>IFERROR(IF(AND(Q55="Probabilidad",Q56="Probabilidad"),(AA55-(+AA55*T56)),IF(Q56="Probabilidad",(K55-(+K55*T56)),IF(Q56="Impacto",AA55,""))),"")</f>
        <v>0.16800000000000001</v>
      </c>
      <c r="Z56" s="28" t="str">
        <f t="shared" si="34"/>
        <v>Muy Baja</v>
      </c>
      <c r="AA56" s="26">
        <f t="shared" ref="AA56:AA57" si="40">+Y56</f>
        <v>0.16800000000000001</v>
      </c>
      <c r="AB56" s="28" t="str">
        <f t="shared" ref="AB56:AB57" si="41">IFERROR(IF(AC56="","",IF(AC56&lt;=0.2,"Leve",IF(AC56&lt;=0.4,"Menor",IF(AC56&lt;=0.6,"Moderado",IF(AC56&lt;=0.8,"Mayor","Catastrófico"))))),"")</f>
        <v>Mayor</v>
      </c>
      <c r="AC56" s="26">
        <f>IFERROR(IF(AND(Q55="Impacto",Q56="Impacto"),(AC55-(+AC55*T56)),IF(Q56="Impacto",(#REF!-(+#REF!*T56)),IF(Q56="Probabilidad",AC55,""))),"")</f>
        <v>0.8</v>
      </c>
      <c r="AD56" s="272"/>
      <c r="AE56" s="277"/>
      <c r="AF56" s="272"/>
      <c r="AG56" s="277"/>
      <c r="AH56" s="266"/>
      <c r="AI56" s="268"/>
      <c r="AJ56" s="306"/>
      <c r="AK56" s="389"/>
      <c r="AL56" s="292"/>
      <c r="AM56" s="386"/>
      <c r="AN56" s="292"/>
      <c r="AO56" s="389"/>
      <c r="AP56" s="401"/>
      <c r="AQ56" s="389"/>
      <c r="AR56" s="401"/>
      <c r="AS56" s="79"/>
      <c r="AT56" s="79"/>
      <c r="AU56" s="79"/>
      <c r="AV56" s="79"/>
      <c r="AW56" s="79"/>
      <c r="AX56" s="79"/>
      <c r="AY56" s="79"/>
      <c r="AZ56" s="79"/>
      <c r="BA56" s="79"/>
      <c r="BB56" s="79"/>
      <c r="BC56" s="79"/>
      <c r="BD56" s="79"/>
      <c r="BE56" s="79"/>
      <c r="BF56" s="79"/>
    </row>
    <row r="57" spans="1:58" s="80" customFormat="1" ht="107.7" customHeight="1" x14ac:dyDescent="0.3">
      <c r="A57" s="303"/>
      <c r="B57" s="304"/>
      <c r="C57" s="304"/>
      <c r="D57" s="304"/>
      <c r="E57" s="304"/>
      <c r="F57" s="384"/>
      <c r="G57" s="309"/>
      <c r="H57" s="84" t="s">
        <v>353</v>
      </c>
      <c r="I57" s="270"/>
      <c r="J57" s="272"/>
      <c r="K57" s="307"/>
      <c r="L57" s="272"/>
      <c r="M57" s="307"/>
      <c r="N57" s="308"/>
      <c r="O57" s="25">
        <v>3</v>
      </c>
      <c r="P57" s="84" t="s">
        <v>354</v>
      </c>
      <c r="Q57" s="25" t="str">
        <f t="shared" si="37"/>
        <v>Probabilidad</v>
      </c>
      <c r="R57" s="76" t="s">
        <v>154</v>
      </c>
      <c r="S57" s="76" t="s">
        <v>146</v>
      </c>
      <c r="T57" s="26" t="str">
        <f t="shared" si="38"/>
        <v>30%</v>
      </c>
      <c r="U57" s="76" t="s">
        <v>155</v>
      </c>
      <c r="V57" s="76" t="s">
        <v>156</v>
      </c>
      <c r="W57" s="76" t="s">
        <v>149</v>
      </c>
      <c r="X57" s="82" t="s">
        <v>355</v>
      </c>
      <c r="Y57" s="78">
        <f>IFERROR(IF(AND(Q56="Probabilidad",Q57="Probabilidad"),(AA56-(+AA56*T57)),IF(AND(Q56="Impacto",Q57="Probabilidad"),(AA55-(+AA55*T57)),IF(Q57="Impacto",AA56,""))),"")</f>
        <v>0.11760000000000001</v>
      </c>
      <c r="Z57" s="28" t="str">
        <f t="shared" si="34"/>
        <v>Muy Baja</v>
      </c>
      <c r="AA57" s="26">
        <f t="shared" si="40"/>
        <v>0.11760000000000001</v>
      </c>
      <c r="AB57" s="28" t="str">
        <f t="shared" si="41"/>
        <v>Mayor</v>
      </c>
      <c r="AC57" s="26">
        <f>IFERROR(IF(AND(Q56="Impacto",Q57="Impacto"),(AC56-(+AC56*T57)),IF(AND(Q56="Probabilidad",Q57="Impacto"),(AC55-(+AC55*T57)),IF(Q57="Probabilidad",AC56,""))),"")</f>
        <v>0.8</v>
      </c>
      <c r="AD57" s="272"/>
      <c r="AE57" s="277"/>
      <c r="AF57" s="272"/>
      <c r="AG57" s="277"/>
      <c r="AH57" s="266"/>
      <c r="AI57" s="268"/>
      <c r="AJ57" s="306"/>
      <c r="AK57" s="389"/>
      <c r="AL57" s="292"/>
      <c r="AM57" s="386"/>
      <c r="AN57" s="292"/>
      <c r="AO57" s="389"/>
      <c r="AP57" s="401"/>
      <c r="AQ57" s="389"/>
      <c r="AR57" s="401"/>
      <c r="AS57" s="79"/>
      <c r="AT57" s="79"/>
      <c r="AU57" s="79"/>
      <c r="AV57" s="79"/>
      <c r="AW57" s="79"/>
      <c r="AX57" s="79"/>
      <c r="AY57" s="79"/>
      <c r="AZ57" s="79"/>
      <c r="BA57" s="79"/>
      <c r="BB57" s="79"/>
      <c r="BC57" s="79"/>
      <c r="BD57" s="79"/>
      <c r="BE57" s="79"/>
      <c r="BF57" s="79"/>
    </row>
    <row r="58" spans="1:58" s="80" customFormat="1" ht="64.2" customHeight="1" x14ac:dyDescent="0.3">
      <c r="A58" s="303"/>
      <c r="B58" s="304"/>
      <c r="C58" s="304"/>
      <c r="D58" s="304"/>
      <c r="E58" s="304"/>
      <c r="F58" s="384"/>
      <c r="G58" s="309"/>
      <c r="H58" s="84" t="s">
        <v>356</v>
      </c>
      <c r="I58" s="270"/>
      <c r="J58" s="272"/>
      <c r="K58" s="307"/>
      <c r="L58" s="272"/>
      <c r="M58" s="307"/>
      <c r="N58" s="308"/>
      <c r="O58" s="25">
        <v>4</v>
      </c>
      <c r="P58" s="84" t="s">
        <v>357</v>
      </c>
      <c r="Q58" s="25" t="str">
        <f t="shared" si="37"/>
        <v>Probabilidad</v>
      </c>
      <c r="R58" s="76" t="s">
        <v>154</v>
      </c>
      <c r="S58" s="76" t="s">
        <v>146</v>
      </c>
      <c r="T58" s="26" t="str">
        <f t="shared" si="38"/>
        <v>30%</v>
      </c>
      <c r="U58" s="76" t="s">
        <v>155</v>
      </c>
      <c r="V58" s="76" t="s">
        <v>156</v>
      </c>
      <c r="W58" s="76" t="s">
        <v>149</v>
      </c>
      <c r="X58" s="82" t="s">
        <v>358</v>
      </c>
      <c r="Y58" s="78">
        <f>IFERROR(IF(AND(Q57="Probabilidad",Q58="Probabilidad"),(AA57-(+AA57*T58)),IF(AND(Q57="Impacto",Q58="Probabilidad"),(#REF!-(+#REF!*T58)),IF(Q58="Impacto",AA57,""))),"")</f>
        <v>8.2320000000000004E-2</v>
      </c>
      <c r="Z58" s="28" t="str">
        <f t="shared" si="34"/>
        <v>Muy Baja</v>
      </c>
      <c r="AA58" s="26">
        <f t="shared" ref="AA58:AA63" si="42">+Y58</f>
        <v>8.2320000000000004E-2</v>
      </c>
      <c r="AB58" s="28" t="str">
        <f t="shared" ref="AB58:AB63" si="43">IFERROR(IF(AC58="","",IF(AC58&lt;=0.2,"Leve",IF(AC58&lt;=0.4,"Menor",IF(AC58&lt;=0.6,"Moderado",IF(AC58&lt;=0.8,"Mayor","Catastrófico"))))),"")</f>
        <v>Mayor</v>
      </c>
      <c r="AC58" s="26">
        <f>IFERROR(IF(AND(Q57="Impacto",Q58="Impacto"),(AC57-(+AC57*T58)),IF(AND(Q57="Probabilidad",Q58="Impacto"),(#REF!-(+#REF!*T58)),IF(Q58="Probabilidad",AC57,""))),"")</f>
        <v>0.8</v>
      </c>
      <c r="AD58" s="272"/>
      <c r="AE58" s="277"/>
      <c r="AF58" s="272"/>
      <c r="AG58" s="277"/>
      <c r="AH58" s="266"/>
      <c r="AI58" s="268"/>
      <c r="AJ58" s="306"/>
      <c r="AK58" s="389"/>
      <c r="AL58" s="292"/>
      <c r="AM58" s="386"/>
      <c r="AN58" s="292"/>
      <c r="AO58" s="389"/>
      <c r="AP58" s="401"/>
      <c r="AQ58" s="389"/>
      <c r="AR58" s="401"/>
      <c r="AS58" s="79"/>
      <c r="AT58" s="79"/>
      <c r="AU58" s="79"/>
      <c r="AV58" s="79"/>
      <c r="AW58" s="79"/>
      <c r="AX58" s="79"/>
      <c r="AY58" s="79"/>
      <c r="AZ58" s="79"/>
      <c r="BA58" s="79"/>
      <c r="BB58" s="79"/>
      <c r="BC58" s="79"/>
      <c r="BD58" s="79"/>
      <c r="BE58" s="79"/>
      <c r="BF58" s="79"/>
    </row>
    <row r="59" spans="1:58" s="80" customFormat="1" ht="87" customHeight="1" x14ac:dyDescent="0.3">
      <c r="A59" s="303"/>
      <c r="B59" s="304"/>
      <c r="C59" s="304"/>
      <c r="D59" s="304"/>
      <c r="E59" s="304"/>
      <c r="F59" s="384"/>
      <c r="G59" s="309"/>
      <c r="H59" s="96" t="s">
        <v>359</v>
      </c>
      <c r="I59" s="270"/>
      <c r="J59" s="272"/>
      <c r="K59" s="307"/>
      <c r="L59" s="272"/>
      <c r="M59" s="307"/>
      <c r="N59" s="308"/>
      <c r="O59" s="25">
        <v>5</v>
      </c>
      <c r="P59" s="84" t="s">
        <v>666</v>
      </c>
      <c r="Q59" s="25" t="str">
        <f>IF(OR(R59="Preventivo",R59="Detectivo"),"Probabilidad",IF(R59="Correctivo","Impacto",""))</f>
        <v>Probabilidad</v>
      </c>
      <c r="R59" s="76" t="s">
        <v>145</v>
      </c>
      <c r="S59" s="76" t="s">
        <v>146</v>
      </c>
      <c r="T59" s="26" t="str">
        <f t="shared" ref="T59:T60" si="44">IF(AND(R59="Preventivo",S59="Automático"),"50%",IF(AND(R59="Preventivo",S59="Manual"),"40%",IF(AND(R59="Detectivo",S59="Automático"),"40%",IF(AND(R59="Detectivo",S59="Manual"),"30%",IF(AND(R59="Correctivo",S59="Automático"),"35%",IF(AND(R59="Correctivo",S59="Manual"),"25%",""))))))</f>
        <v>40%</v>
      </c>
      <c r="U59" s="76" t="s">
        <v>155</v>
      </c>
      <c r="V59" s="76" t="s">
        <v>156</v>
      </c>
      <c r="W59" s="76" t="s">
        <v>149</v>
      </c>
      <c r="X59" s="82" t="s">
        <v>360</v>
      </c>
      <c r="Y59" s="78">
        <f t="shared" ref="Y59" si="45">IFERROR(IF(AND(Q58="Probabilidad",Q59="Probabilidad"),(AA58-(+AA58*T59)),IF(AND(Q58="Impacto",Q59="Probabilidad"),(AA57-(+AA57*T59)),IF(Q59="Impacto",AA58,""))),"")</f>
        <v>4.9391999999999998E-2</v>
      </c>
      <c r="Z59" s="28" t="str">
        <f t="shared" si="34"/>
        <v>Muy Baja</v>
      </c>
      <c r="AA59" s="26">
        <f t="shared" si="42"/>
        <v>4.9391999999999998E-2</v>
      </c>
      <c r="AB59" s="28" t="str">
        <f t="shared" si="43"/>
        <v>Mayor</v>
      </c>
      <c r="AC59" s="26">
        <f t="shared" ref="AC59" si="46">IFERROR(IF(AND(Q58="Impacto",Q59="Impacto"),(AC58-(+AC58*T59)),IF(AND(Q58="Probabilidad",Q59="Impacto"),(AC57-(+AC57*T59)),IF(Q59="Probabilidad",AC58,""))),"")</f>
        <v>0.8</v>
      </c>
      <c r="AD59" s="272"/>
      <c r="AE59" s="277"/>
      <c r="AF59" s="272"/>
      <c r="AG59" s="277"/>
      <c r="AH59" s="266"/>
      <c r="AI59" s="268"/>
      <c r="AJ59" s="306"/>
      <c r="AK59" s="389"/>
      <c r="AL59" s="292"/>
      <c r="AM59" s="386"/>
      <c r="AN59" s="292"/>
      <c r="AO59" s="389"/>
      <c r="AP59" s="401"/>
      <c r="AQ59" s="389"/>
      <c r="AR59" s="401"/>
      <c r="AS59" s="79"/>
      <c r="AT59" s="79"/>
      <c r="AU59" s="79"/>
      <c r="AV59" s="79"/>
      <c r="AW59" s="79"/>
      <c r="AX59" s="79"/>
      <c r="AY59" s="79"/>
      <c r="AZ59" s="79"/>
      <c r="BA59" s="79"/>
      <c r="BB59" s="79"/>
      <c r="BC59" s="79"/>
      <c r="BD59" s="79"/>
      <c r="BE59" s="79"/>
      <c r="BF59" s="79"/>
    </row>
    <row r="60" spans="1:58" s="80" customFormat="1" ht="76.2" customHeight="1" x14ac:dyDescent="0.3">
      <c r="A60" s="303"/>
      <c r="B60" s="304"/>
      <c r="C60" s="304"/>
      <c r="D60" s="304"/>
      <c r="E60" s="304"/>
      <c r="F60" s="384"/>
      <c r="G60" s="309"/>
      <c r="H60" s="96" t="s">
        <v>361</v>
      </c>
      <c r="I60" s="270"/>
      <c r="J60" s="272"/>
      <c r="K60" s="307"/>
      <c r="L60" s="272"/>
      <c r="M60" s="307"/>
      <c r="N60" s="308"/>
      <c r="O60" s="25">
        <v>6</v>
      </c>
      <c r="P60" s="106" t="s">
        <v>667</v>
      </c>
      <c r="Q60" s="25" t="str">
        <f t="shared" ref="Q60" si="47">IF(OR(R60="Preventivo",R60="Detectivo"),"Probabilidad",IF(R60="Correctivo","Impacto",""))</f>
        <v>Probabilidad</v>
      </c>
      <c r="R60" s="76" t="s">
        <v>145</v>
      </c>
      <c r="S60" s="76" t="s">
        <v>146</v>
      </c>
      <c r="T60" s="26" t="str">
        <f t="shared" si="44"/>
        <v>40%</v>
      </c>
      <c r="U60" s="76" t="s">
        <v>155</v>
      </c>
      <c r="V60" s="76" t="s">
        <v>156</v>
      </c>
      <c r="W60" s="76" t="s">
        <v>149</v>
      </c>
      <c r="X60" s="83" t="s">
        <v>362</v>
      </c>
      <c r="Y60" s="78">
        <f t="shared" ref="Y60:Y62" si="48">IFERROR(IF(AND(Q59="Probabilidad",Q60="Probabilidad"),(AA59-(+AA59*T60)),IF(AND(Q59="Impacto",Q60="Probabilidad"),(AA58-(+AA58*T60)),IF(Q60="Impacto",AA59,""))),"")</f>
        <v>2.9635199999999997E-2</v>
      </c>
      <c r="Z60" s="28" t="str">
        <f t="shared" ref="Z60:Z62" si="49">IFERROR(IF(Y60="","",IF(Y60&lt;=0.2,"Muy Baja",IF(Y60&lt;=0.4,"Baja",IF(Y60&lt;=0.6,"Media",IF(Y60&lt;=0.8,"Alta","Muy Alta"))))),"")</f>
        <v>Muy Baja</v>
      </c>
      <c r="AA60" s="26">
        <f t="shared" ref="AA60:AA62" si="50">+Y60</f>
        <v>2.9635199999999997E-2</v>
      </c>
      <c r="AB60" s="28" t="str">
        <f t="shared" ref="AB60:AB62" si="51">IFERROR(IF(AC60="","",IF(AC60&lt;=0.2,"Leve",IF(AC60&lt;=0.4,"Menor",IF(AC60&lt;=0.6,"Moderado",IF(AC60&lt;=0.8,"Mayor","Catastrófico"))))),"")</f>
        <v>Mayor</v>
      </c>
      <c r="AC60" s="26">
        <f t="shared" ref="AC60:AC62" si="52">IFERROR(IF(AND(Q59="Impacto",Q60="Impacto"),(AC59-(+AC59*T60)),IF(AND(Q59="Probabilidad",Q60="Impacto"),(AC58-(+AC58*T60)),IF(Q60="Probabilidad",AC59,""))),"")</f>
        <v>0.8</v>
      </c>
      <c r="AD60" s="272"/>
      <c r="AE60" s="277"/>
      <c r="AF60" s="272"/>
      <c r="AG60" s="277"/>
      <c r="AH60" s="266"/>
      <c r="AI60" s="268"/>
      <c r="AJ60" s="306"/>
      <c r="AK60" s="389"/>
      <c r="AL60" s="292"/>
      <c r="AM60" s="386"/>
      <c r="AN60" s="292"/>
      <c r="AO60" s="389"/>
      <c r="AP60" s="401"/>
      <c r="AQ60" s="389"/>
      <c r="AR60" s="401"/>
      <c r="AS60" s="79"/>
      <c r="AT60" s="79"/>
      <c r="AU60" s="79"/>
      <c r="AV60" s="79"/>
      <c r="AW60" s="79"/>
      <c r="AX60" s="79"/>
      <c r="AY60" s="79"/>
      <c r="AZ60" s="79"/>
      <c r="BA60" s="79"/>
      <c r="BB60" s="79"/>
      <c r="BC60" s="79"/>
      <c r="BD60" s="79"/>
      <c r="BE60" s="79"/>
      <c r="BF60" s="79"/>
    </row>
    <row r="61" spans="1:58" s="80" customFormat="1" ht="84" customHeight="1" x14ac:dyDescent="0.3">
      <c r="A61" s="303"/>
      <c r="B61" s="304"/>
      <c r="C61" s="304"/>
      <c r="D61" s="304"/>
      <c r="E61" s="304"/>
      <c r="F61" s="384"/>
      <c r="G61" s="309"/>
      <c r="H61" s="87" t="s">
        <v>363</v>
      </c>
      <c r="I61" s="270"/>
      <c r="J61" s="272"/>
      <c r="K61" s="307"/>
      <c r="L61" s="272"/>
      <c r="M61" s="307"/>
      <c r="N61" s="308"/>
      <c r="O61" s="25">
        <v>7</v>
      </c>
      <c r="P61" s="84" t="s">
        <v>364</v>
      </c>
      <c r="Q61" s="25" t="str">
        <f>IF(OR(R61="Preventivo",R61="Detectivo"),"Probabilidad",IF(R61="Correctivo","Impacto",""))</f>
        <v>Probabilidad</v>
      </c>
      <c r="R61" s="76" t="s">
        <v>145</v>
      </c>
      <c r="S61" s="76" t="s">
        <v>146</v>
      </c>
      <c r="T61" s="26" t="str">
        <f t="shared" si="38"/>
        <v>40%</v>
      </c>
      <c r="U61" s="76" t="s">
        <v>155</v>
      </c>
      <c r="V61" s="76" t="s">
        <v>156</v>
      </c>
      <c r="W61" s="76" t="s">
        <v>149</v>
      </c>
      <c r="X61" s="82" t="s">
        <v>365</v>
      </c>
      <c r="Y61" s="78">
        <f t="shared" si="48"/>
        <v>1.7781119999999997E-2</v>
      </c>
      <c r="Z61" s="28" t="str">
        <f t="shared" si="49"/>
        <v>Muy Baja</v>
      </c>
      <c r="AA61" s="26">
        <f t="shared" si="50"/>
        <v>1.7781119999999997E-2</v>
      </c>
      <c r="AB61" s="28" t="str">
        <f t="shared" si="51"/>
        <v>Mayor</v>
      </c>
      <c r="AC61" s="26">
        <f t="shared" si="52"/>
        <v>0.8</v>
      </c>
      <c r="AD61" s="272"/>
      <c r="AE61" s="277"/>
      <c r="AF61" s="272"/>
      <c r="AG61" s="277"/>
      <c r="AH61" s="266"/>
      <c r="AI61" s="268"/>
      <c r="AJ61" s="306"/>
      <c r="AK61" s="389"/>
      <c r="AL61" s="292"/>
      <c r="AM61" s="386"/>
      <c r="AN61" s="292"/>
      <c r="AO61" s="389"/>
      <c r="AP61" s="401"/>
      <c r="AQ61" s="389"/>
      <c r="AR61" s="401"/>
      <c r="AS61" s="79"/>
      <c r="AT61" s="79"/>
      <c r="AU61" s="79"/>
      <c r="AV61" s="79"/>
      <c r="AW61" s="79"/>
      <c r="AX61" s="79"/>
      <c r="AY61" s="79"/>
      <c r="AZ61" s="79"/>
      <c r="BA61" s="79"/>
      <c r="BB61" s="79"/>
      <c r="BC61" s="79"/>
      <c r="BD61" s="79"/>
      <c r="BE61" s="79"/>
      <c r="BF61" s="79"/>
    </row>
    <row r="62" spans="1:58" s="80" customFormat="1" ht="84" customHeight="1" x14ac:dyDescent="0.3">
      <c r="A62" s="303"/>
      <c r="B62" s="304"/>
      <c r="C62" s="304"/>
      <c r="D62" s="304"/>
      <c r="E62" s="304"/>
      <c r="F62" s="384"/>
      <c r="G62" s="309"/>
      <c r="H62" s="84" t="s">
        <v>366</v>
      </c>
      <c r="I62" s="270"/>
      <c r="J62" s="272"/>
      <c r="K62" s="307"/>
      <c r="L62" s="272"/>
      <c r="M62" s="307"/>
      <c r="N62" s="308"/>
      <c r="O62" s="25">
        <v>8</v>
      </c>
      <c r="P62" s="106" t="s">
        <v>367</v>
      </c>
      <c r="Q62" s="25" t="str">
        <f>IF(OR(R62="Preventivo",R62="Detectivo"),"Probabilidad",IF(R62="Correctivo","Impacto",""))</f>
        <v>Probabilidad</v>
      </c>
      <c r="R62" s="76" t="s">
        <v>145</v>
      </c>
      <c r="S62" s="76" t="s">
        <v>146</v>
      </c>
      <c r="T62" s="26" t="str">
        <f>IF(AND(R62="Preventivo",S62="Automático"),"50%",IF(AND(R62="Preventivo",S62="Manual"),"40%",IF(AND(R62="Detectivo",S62="Automático"),"40%",IF(AND(R62="Detectivo",S62="Manual"),"30%",IF(AND(R62="Correctivo",S62="Automático"),"35%",IF(AND(R62="Correctivo",S62="Manual"),"25%",""))))))</f>
        <v>40%</v>
      </c>
      <c r="U62" s="76" t="s">
        <v>155</v>
      </c>
      <c r="V62" s="76" t="s">
        <v>156</v>
      </c>
      <c r="W62" s="76" t="s">
        <v>149</v>
      </c>
      <c r="X62" s="83" t="s">
        <v>368</v>
      </c>
      <c r="Y62" s="78">
        <f t="shared" si="48"/>
        <v>1.0668671999999997E-2</v>
      </c>
      <c r="Z62" s="28" t="str">
        <f t="shared" si="49"/>
        <v>Muy Baja</v>
      </c>
      <c r="AA62" s="26">
        <f t="shared" si="50"/>
        <v>1.0668671999999997E-2</v>
      </c>
      <c r="AB62" s="28" t="str">
        <f t="shared" si="51"/>
        <v>Mayor</v>
      </c>
      <c r="AC62" s="26">
        <f t="shared" si="52"/>
        <v>0.8</v>
      </c>
      <c r="AD62" s="272"/>
      <c r="AE62" s="277"/>
      <c r="AF62" s="272"/>
      <c r="AG62" s="277"/>
      <c r="AH62" s="266"/>
      <c r="AI62" s="268"/>
      <c r="AJ62" s="306"/>
      <c r="AK62" s="389"/>
      <c r="AL62" s="292"/>
      <c r="AM62" s="386"/>
      <c r="AN62" s="292"/>
      <c r="AO62" s="389"/>
      <c r="AP62" s="401"/>
      <c r="AQ62" s="389"/>
      <c r="AR62" s="401"/>
      <c r="AS62" s="79"/>
      <c r="AT62" s="79"/>
      <c r="AU62" s="79"/>
      <c r="AV62" s="79"/>
      <c r="AW62" s="79"/>
      <c r="AX62" s="79"/>
      <c r="AY62" s="79"/>
      <c r="AZ62" s="79"/>
      <c r="BA62" s="79"/>
      <c r="BB62" s="79"/>
      <c r="BC62" s="79"/>
      <c r="BD62" s="79"/>
      <c r="BE62" s="79"/>
      <c r="BF62" s="79"/>
    </row>
    <row r="63" spans="1:58" s="80" customFormat="1" ht="105.45" customHeight="1" x14ac:dyDescent="0.3">
      <c r="A63" s="303"/>
      <c r="B63" s="304"/>
      <c r="C63" s="304"/>
      <c r="D63" s="304"/>
      <c r="E63" s="304"/>
      <c r="F63" s="384"/>
      <c r="G63" s="309"/>
      <c r="H63" s="87" t="s">
        <v>369</v>
      </c>
      <c r="I63" s="270"/>
      <c r="J63" s="272"/>
      <c r="K63" s="307"/>
      <c r="L63" s="272"/>
      <c r="M63" s="307"/>
      <c r="N63" s="308"/>
      <c r="O63" s="89">
        <v>9</v>
      </c>
      <c r="P63" s="106" t="s">
        <v>370</v>
      </c>
      <c r="Q63" s="25" t="str">
        <f t="shared" ref="Q63:Q65" si="53">IF(OR(R63="Preventivo",R63="Detectivo"),"Probabilidad",IF(R63="Correctivo","Impacto",""))</f>
        <v>Probabilidad</v>
      </c>
      <c r="R63" s="76" t="s">
        <v>145</v>
      </c>
      <c r="S63" s="76" t="s">
        <v>146</v>
      </c>
      <c r="T63" s="26" t="str">
        <f t="shared" ref="T63:T65" si="54">IF(AND(R63="Preventivo",S63="Automático"),"50%",IF(AND(R63="Preventivo",S63="Manual"),"40%",IF(AND(R63="Detectivo",S63="Automático"),"40%",IF(AND(R63="Detectivo",S63="Manual"),"30%",IF(AND(R63="Correctivo",S63="Automático"),"35%",IF(AND(R63="Correctivo",S63="Manual"),"25%",""))))))</f>
        <v>40%</v>
      </c>
      <c r="U63" s="76" t="s">
        <v>155</v>
      </c>
      <c r="V63" s="76" t="s">
        <v>156</v>
      </c>
      <c r="W63" s="76" t="s">
        <v>149</v>
      </c>
      <c r="X63" s="83" t="s">
        <v>371</v>
      </c>
      <c r="Y63" s="78">
        <f>IFERROR(IF(AND(Q61="Probabilidad",Q64="Probabilidad"),(AA61-(+AA61*T64)),IF(AND(Q61="Impacto",Q64="Probabilidad"),(#REF!-(+#REF!*T64)),IF(Q64="Impacto",AA61,""))),"")</f>
        <v>1.0668671999999997E-2</v>
      </c>
      <c r="Z63" s="28" t="str">
        <f t="shared" si="34"/>
        <v>Muy Baja</v>
      </c>
      <c r="AA63" s="26">
        <f t="shared" si="42"/>
        <v>1.0668671999999997E-2</v>
      </c>
      <c r="AB63" s="28" t="str">
        <f t="shared" si="43"/>
        <v>Mayor</v>
      </c>
      <c r="AC63" s="26">
        <f>IFERROR(IF(AND(Q61="Impacto",Q64="Impacto"),(AC61-(+AC61*T64)),IF(AND(Q61="Probabilidad",Q64="Impacto"),(#REF!-(+#REF!*T64)),IF(Q64="Probabilidad",AC61,""))),"")</f>
        <v>0.8</v>
      </c>
      <c r="AD63" s="272"/>
      <c r="AE63" s="277"/>
      <c r="AF63" s="272"/>
      <c r="AG63" s="277"/>
      <c r="AH63" s="266"/>
      <c r="AI63" s="268"/>
      <c r="AJ63" s="306"/>
      <c r="AK63" s="390"/>
      <c r="AL63" s="293"/>
      <c r="AM63" s="387"/>
      <c r="AN63" s="293"/>
      <c r="AO63" s="390"/>
      <c r="AP63" s="402"/>
      <c r="AQ63" s="390"/>
      <c r="AR63" s="402"/>
      <c r="AS63" s="79"/>
      <c r="AT63" s="79"/>
      <c r="AU63" s="79"/>
      <c r="AV63" s="79"/>
      <c r="AW63" s="79"/>
      <c r="AX63" s="79"/>
      <c r="AY63" s="79"/>
      <c r="AZ63" s="79"/>
      <c r="BA63" s="79"/>
      <c r="BB63" s="79"/>
      <c r="BC63" s="79"/>
      <c r="BD63" s="79"/>
      <c r="BE63" s="79"/>
      <c r="BF63" s="79"/>
    </row>
    <row r="64" spans="1:58" s="80" customFormat="1" ht="143.69999999999999" customHeight="1" x14ac:dyDescent="0.3">
      <c r="A64" s="303" t="s">
        <v>372</v>
      </c>
      <c r="B64" s="304" t="s">
        <v>373</v>
      </c>
      <c r="C64" s="304" t="s">
        <v>374</v>
      </c>
      <c r="D64" s="304" t="s">
        <v>375</v>
      </c>
      <c r="E64" s="304" t="s">
        <v>376</v>
      </c>
      <c r="F64" s="306" t="s">
        <v>377</v>
      </c>
      <c r="G64" s="309" t="s">
        <v>378</v>
      </c>
      <c r="H64" s="87" t="s">
        <v>379</v>
      </c>
      <c r="I64" s="269" t="s">
        <v>141</v>
      </c>
      <c r="J64" s="271" t="s">
        <v>319</v>
      </c>
      <c r="K64" s="307">
        <f>IF(J64="","",IF(J64="Muy Baja",0.2,IF(J64="Baja",0.4,IF(J64="Media",0.6,IF(J64="Alta",0.8,IF(J64="Muy Alta",1,))))))</f>
        <v>0.2</v>
      </c>
      <c r="L64" s="271" t="s">
        <v>143</v>
      </c>
      <c r="M64" s="307">
        <f>IF(L64="","",IF(L64="Leve",0.2,IF(L64="Menor",0.4,IF(L64="Moderado",0.6,IF(L64="Mayor",0.8,IF(L64="Catastrófico",1,))))))</f>
        <v>0.8</v>
      </c>
      <c r="N64" s="308" t="str">
        <f>IF(OR(AND(J64="Muy Baja",L64="Leve"),AND(J64="Muy Baja",L64="Menor"),AND(J64="Baja",L64="Leve")),"Bajo",IF(OR(AND(J64="Muy baja",L64="Moderado"),AND(J64="Baja",L64="Menor"),AND(J64="Baja",L64="Moderado"),AND(J64="Media",L64="Leve"),AND(J64="Media",L64="Menor"),AND(J64="Media",L64="Moderado"),AND(J64="Alta",L64="Leve"),AND(J64="Alta",L64="Menor")),"Moderado",IF(OR(AND(J64="Muy Baja",L64="Mayor"),AND(J64="Baja",L64="Mayor"),AND(J64="Media",L64="Mayor"),AND(J64="Alta",L64="Moderado"),AND(J64="Alta",L64="Mayor"),AND(J64="Muy Alta",L64="Leve"),AND(J64="Muy Alta",L64="Menor"),AND(J64="Muy Alta",L64="Moderado"),AND(J64="Muy Alta",L64="Mayor")),"Alto",IF(OR(AND(J64="Muy Baja",L64="Catastrófico"),AND(J64="Baja",L64="Catastrófico"),AND(J64="Media",L64="Catastrófico"),AND(J64="Alta",L64="Catastrófico"),AND(J64="Muy Alta",L64="Catastrófico")),"Extremo",""))))</f>
        <v>Alto</v>
      </c>
      <c r="O64" s="25" t="s">
        <v>380</v>
      </c>
      <c r="P64" s="83" t="s">
        <v>381</v>
      </c>
      <c r="Q64" s="25" t="str">
        <f t="shared" si="53"/>
        <v>Probabilidad</v>
      </c>
      <c r="R64" s="76" t="s">
        <v>145</v>
      </c>
      <c r="S64" s="76" t="s">
        <v>146</v>
      </c>
      <c r="T64" s="26" t="str">
        <f t="shared" si="54"/>
        <v>40%</v>
      </c>
      <c r="U64" s="76" t="s">
        <v>155</v>
      </c>
      <c r="V64" s="76" t="s">
        <v>156</v>
      </c>
      <c r="W64" s="76" t="s">
        <v>149</v>
      </c>
      <c r="X64" s="83" t="s">
        <v>382</v>
      </c>
      <c r="Y64" s="78">
        <f>IFERROR(IF(Q64="Probabilidad",(K64-(+K64*T64)),IF(Q64="Impacto",K64,"")),"")</f>
        <v>0.12</v>
      </c>
      <c r="Z64" s="28" t="str">
        <f t="shared" si="34"/>
        <v>Muy Baja</v>
      </c>
      <c r="AA64" s="26">
        <f>+Y64</f>
        <v>0.12</v>
      </c>
      <c r="AB64" s="28" t="str">
        <f>IFERROR(IF(AC64="","",IF(AC64&lt;=0.2,"Leve",IF(AC64&lt;=0.4,"Menor",IF(AC64&lt;=0.6,"Moderado",IF(AC64&lt;=0.8,"Mayor","Catastrófico"))))),"")</f>
        <v>Mayor</v>
      </c>
      <c r="AC64" s="26">
        <f>IFERROR(IF(Q64="Impacto",(M64-(+M64*T64)),IF(Q64="Probabilidad",M64,"")),"")</f>
        <v>0.8</v>
      </c>
      <c r="AD64" s="271" t="str">
        <f>IFERROR(IF(AE64=0,"",IF(AND(AE64&gt;0,AE64&lt;=0.2),"Muy Baja",IF(AE64&lt;=0.4,"Baja",IF(AE64&lt;=0.6,"Media",IF(AE64&lt;=0.8,"Alta","Muy Alta"))))),"")</f>
        <v>Muy Baja</v>
      </c>
      <c r="AE64" s="276">
        <f>MIN(Y64:Y65)</f>
        <v>0.12</v>
      </c>
      <c r="AF64" s="271" t="str">
        <f>IFERROR(IF(AG64=0,"",IF(AND(AG64&gt;0,AG64&lt;=0.2),"Leve",IF(AG64&lt;=0.4,"Menor",IF(AG64&lt;=0.6,"Moderado",IF(AG64&lt;=0.8,"Mayor","Catastrófico"))))),"")</f>
        <v>Moderado</v>
      </c>
      <c r="AG64" s="276">
        <f>MIN(AC64:AC65)</f>
        <v>0.60000000000000009</v>
      </c>
      <c r="AH64" s="265" t="str">
        <f>IFERROR(IF(OR(AND(AD64="Muy Baja",AF64="Leve"),AND(AD64="Muy Baja",AF64="Menor"),AND(AD64="Baja",AF64="Leve")),"Bajo",IF(OR(AND(AD64="Muy Baja",AF64="Moderado"),AND(AD64="Baja",AF64="Menor"),AND(AD64="Baja",AF64="Moderado"),AND(AD64="Media",AF64="Leve"),AND(AD64="Media",AF64="Menor"),AND(AD64="Media",AF64="Moderado"),AND(AD64="Alta",AF64="Leve"),AND(AD64="Alta",AF64="Menor")),"Moderado",IF(OR(AND(AD64="Muy Baja",AF64="Mayor"),AND(AD64="Baja",AF64="Mayor"),AND(AD64="Media",AF64="Mayor"),AND(AD64="Alta",AF64="Moderado"),AND(AD64="Alta",AF64="Mayor"),AND(AD64="Muy Alta",AF64="Leve"),AND(AD64="Muy Alta",AF64="Menor"),AND(AD64="Muy Alta",AF64="Moderado"),AND(AD64="Muy Alta",AF64="Mayor")),"Alto",IF(OR(AND(AD64="Muy Baja",AF64="Catastrófico"),AND(AD64="Baja",AF64="Catastrófico"),AND(AD64="Media",AF64="Catastrófico"),AND(AD64="Alta",AF64="Catastrófico"),AND(AD64="Muy Alta",AF64="Catastrófico")),"Extremo","")))),"")</f>
        <v>Moderado</v>
      </c>
      <c r="AI64" s="267" t="s">
        <v>151</v>
      </c>
      <c r="AJ64" s="306" t="s">
        <v>383</v>
      </c>
      <c r="AK64" s="284" t="s">
        <v>384</v>
      </c>
      <c r="AL64" s="284" t="s">
        <v>385</v>
      </c>
      <c r="AM64" s="284" t="s">
        <v>668</v>
      </c>
      <c r="AN64" s="284" t="s">
        <v>669</v>
      </c>
      <c r="AO64" s="284" t="s">
        <v>152</v>
      </c>
      <c r="AP64" s="394"/>
      <c r="AQ64" s="284" t="s">
        <v>152</v>
      </c>
      <c r="AR64" s="404"/>
      <c r="AS64" s="79"/>
      <c r="AT64" s="79"/>
      <c r="AU64" s="79"/>
      <c r="AV64" s="79"/>
      <c r="AW64" s="79"/>
      <c r="AX64" s="79"/>
      <c r="AY64" s="79"/>
      <c r="AZ64" s="79"/>
      <c r="BA64" s="79"/>
      <c r="BB64" s="79"/>
      <c r="BC64" s="79"/>
      <c r="BD64" s="79"/>
      <c r="BE64" s="79"/>
      <c r="BF64" s="79"/>
    </row>
    <row r="65" spans="1:58" s="80" customFormat="1" ht="167.7" customHeight="1" x14ac:dyDescent="0.3">
      <c r="A65" s="303"/>
      <c r="B65" s="304"/>
      <c r="C65" s="304"/>
      <c r="D65" s="304"/>
      <c r="E65" s="304"/>
      <c r="F65" s="306"/>
      <c r="G65" s="309"/>
      <c r="H65" s="87" t="s">
        <v>386</v>
      </c>
      <c r="I65" s="270"/>
      <c r="J65" s="272"/>
      <c r="K65" s="307"/>
      <c r="L65" s="272"/>
      <c r="M65" s="307"/>
      <c r="N65" s="308"/>
      <c r="O65" s="25" t="s">
        <v>387</v>
      </c>
      <c r="P65" s="83" t="s">
        <v>388</v>
      </c>
      <c r="Q65" s="25" t="str">
        <f t="shared" si="53"/>
        <v>Impacto</v>
      </c>
      <c r="R65" s="76" t="s">
        <v>207</v>
      </c>
      <c r="S65" s="76" t="s">
        <v>146</v>
      </c>
      <c r="T65" s="26" t="str">
        <f t="shared" si="54"/>
        <v>25%</v>
      </c>
      <c r="U65" s="76" t="s">
        <v>147</v>
      </c>
      <c r="V65" s="76" t="s">
        <v>148</v>
      </c>
      <c r="W65" s="76" t="s">
        <v>273</v>
      </c>
      <c r="X65" s="83" t="s">
        <v>256</v>
      </c>
      <c r="Y65" s="78">
        <f>IFERROR(IF(AND(Q64="Probabilidad",Q65="Probabilidad"),(AA64-(+AA64*T65)),IF(Q65="Probabilidad",(K64-(+K64*T65)),IF(Q65="Impacto",AA64,""))),"")</f>
        <v>0.12</v>
      </c>
      <c r="Z65" s="28" t="str">
        <f t="shared" ref="Z65" si="55">IFERROR(IF(Y65="","",IF(Y65&lt;=0.2,"Muy Baja",IF(Y65&lt;=0.4,"Baja",IF(Y65&lt;=0.6,"Media",IF(Y65&lt;=0.8,"Alta","Muy Alta"))))),"")</f>
        <v>Muy Baja</v>
      </c>
      <c r="AA65" s="26">
        <f t="shared" ref="AA65" si="56">+Y65</f>
        <v>0.12</v>
      </c>
      <c r="AB65" s="28" t="str">
        <f t="shared" ref="AB65" si="57">IFERROR(IF(AC65="","",IF(AC65&lt;=0.2,"Leve",IF(AC65&lt;=0.4,"Menor",IF(AC65&lt;=0.6,"Moderado",IF(AC65&lt;=0.8,"Mayor","Catastrófico"))))),"")</f>
        <v>Moderado</v>
      </c>
      <c r="AC65" s="26">
        <f>IFERROR(IF(AND(Q64="Impacto",Q65="Impacto"),(AC64-(+AC64*T65)),IF(Q65="Impacto",(M64-(+M64*T65)),IF(Q65="Probabilidad",AC64,""))),"")</f>
        <v>0.60000000000000009</v>
      </c>
      <c r="AD65" s="272"/>
      <c r="AE65" s="277"/>
      <c r="AF65" s="272"/>
      <c r="AG65" s="277"/>
      <c r="AH65" s="266"/>
      <c r="AI65" s="268"/>
      <c r="AJ65" s="306"/>
      <c r="AK65" s="285"/>
      <c r="AL65" s="285"/>
      <c r="AM65" s="285"/>
      <c r="AN65" s="285"/>
      <c r="AO65" s="285"/>
      <c r="AP65" s="394"/>
      <c r="AQ65" s="285"/>
      <c r="AR65" s="404"/>
      <c r="AS65" s="79"/>
      <c r="AT65" s="79"/>
      <c r="AU65" s="79"/>
      <c r="AV65" s="79"/>
      <c r="AW65" s="79"/>
      <c r="AX65" s="79"/>
      <c r="AY65" s="79"/>
      <c r="AZ65" s="79"/>
      <c r="BA65" s="79"/>
      <c r="BB65" s="79"/>
      <c r="BC65" s="79"/>
      <c r="BD65" s="79"/>
      <c r="BE65" s="79"/>
      <c r="BF65" s="79"/>
    </row>
    <row r="66" spans="1:58" s="80" customFormat="1" ht="96.75" hidden="1" customHeight="1" x14ac:dyDescent="0.3">
      <c r="A66" s="303" t="s">
        <v>389</v>
      </c>
      <c r="B66" s="319" t="s">
        <v>390</v>
      </c>
      <c r="C66" s="319" t="s">
        <v>391</v>
      </c>
      <c r="D66" s="319" t="s">
        <v>187</v>
      </c>
      <c r="E66" s="319" t="s">
        <v>392</v>
      </c>
      <c r="F66" s="319" t="s">
        <v>393</v>
      </c>
      <c r="G66" s="319" t="s">
        <v>394</v>
      </c>
      <c r="H66" s="101" t="s">
        <v>395</v>
      </c>
      <c r="I66" s="328" t="s">
        <v>141</v>
      </c>
      <c r="J66" s="271" t="s">
        <v>319</v>
      </c>
      <c r="K66" s="307">
        <v>0.2</v>
      </c>
      <c r="L66" s="271" t="s">
        <v>143</v>
      </c>
      <c r="M66" s="307">
        <v>0.8</v>
      </c>
      <c r="N66" s="308" t="str">
        <f>IF(OR(AND(J66="Muy Baja",L66="Leve"),AND(J66="Muy Baja",L66="Menor"),AND(J66="Baja",L66="Leve")),"Bajo",IF(OR(AND(J66="Muy baja",L66="Moderado"),AND(J66="Baja",L66="Menor"),AND(J66="Baja",L66="Moderado"),AND(J66="Media",L66="Leve"),AND(J66="Media",L66="Menor"),AND(J66="Media",L66="Moderado"),AND(J66="Alta",L66="Leve"),AND(J66="Alta",L66="Menor")),"Moderado",IF(OR(AND(J66="Muy Baja",L66="Mayor"),AND(J66="Baja",L66="Mayor"),AND(J66="Media",L66="Mayor"),AND(J66="Alta",L66="Moderado"),AND(J66="Alta",L66="Mayor"),AND(J66="Muy Alta",L66="Leve"),AND(J66="Muy Alta",L66="Menor"),AND(J66="Muy Alta",L66="Moderado"),AND(J66="Muy Alta",L66="Mayor")),"Alto",IF(OR(AND(J66="Muy Baja",L66="Catastrófico"),AND(J66="Baja",L66="Catastrófico"),AND(J66="Media",L66="Catastrófico"),AND(J66="Alta",L66="Catastrófico"),AND(J66="Muy Alta",L66="Catastrófico")),"Extremo",""))))</f>
        <v>Alto</v>
      </c>
      <c r="O66" s="25">
        <v>1</v>
      </c>
      <c r="P66" s="75" t="s">
        <v>396</v>
      </c>
      <c r="Q66" s="25" t="str">
        <f t="shared" ref="Q66:Q82" si="58">IF(OR(R66="Preventivo",R66="Detectivo"),"Probabilidad",IF(R66="Correctivo","Impacto",""))</f>
        <v>Probabilidad</v>
      </c>
      <c r="R66" s="76" t="s">
        <v>145</v>
      </c>
      <c r="S66" s="76" t="s">
        <v>146</v>
      </c>
      <c r="T66" s="26" t="str">
        <f t="shared" ref="T66:T82" si="59">IF(AND(R66="Preventivo",S66="Automático"),"50%",IF(AND(R66="Preventivo",S66="Manual"),"40%",IF(AND(R66="Detectivo",S66="Automático"),"40%",IF(AND(R66="Detectivo",S66="Manual"),"30%",IF(AND(R66="Correctivo",S66="Automático"),"35%",IF(AND(R66="Correctivo",S66="Manual"),"25%",""))))))</f>
        <v>40%</v>
      </c>
      <c r="U66" s="76" t="s">
        <v>147</v>
      </c>
      <c r="V66" s="76" t="s">
        <v>148</v>
      </c>
      <c r="W66" s="76" t="s">
        <v>149</v>
      </c>
      <c r="X66" s="75" t="s">
        <v>397</v>
      </c>
      <c r="Y66" s="78">
        <f>IFERROR(IF(Q66="Probabilidad",(K66-(+K66*T66)),IF(Q66="Impacto",K66,"")),"")</f>
        <v>0.12</v>
      </c>
      <c r="Z66" s="28" t="str">
        <f t="shared" ref="Z66:Z82" si="60">IFERROR(IF(Y66="","",IF(Y66&lt;=0.2,"Muy Baja",IF(Y66&lt;=0.4,"Baja",IF(Y66&lt;=0.6,"Media",IF(Y66&lt;=0.8,"Alta","Muy Alta"))))),"")</f>
        <v>Muy Baja</v>
      </c>
      <c r="AA66" s="26">
        <f>+Y66</f>
        <v>0.12</v>
      </c>
      <c r="AB66" s="28" t="str">
        <f>IFERROR(IF(AC66="","",IF(AC66&lt;=0.2,"Leve",IF(AC66&lt;=0.4,"Menor",IF(AC66&lt;=0.6,"Moderado",IF(AC66&lt;=0.8,"Mayor","Catastrófico"))))),"")</f>
        <v>Mayor</v>
      </c>
      <c r="AC66" s="26">
        <f>IFERROR(IF(Q66="Impacto",(M66-(+M66*T66)),IF(Q66="Probabilidad",M66,"")),"")</f>
        <v>0.8</v>
      </c>
      <c r="AD66" s="271" t="str">
        <f t="shared" ref="AD66" si="61">IFERROR(IF(AE66=0,"",IF(AND(AE66&gt;0,AE66&lt;=0.2),"Muy Baja",IF(AE66&lt;=0.4,"Baja",IF(AE66&lt;=0.6,"Media",IF(AE66&lt;=0.8,"Alta","Muy Alta"))))),"")</f>
        <v>Muy Baja</v>
      </c>
      <c r="AE66" s="276">
        <f>MIN(Y66:Y67)</f>
        <v>7.1999999999999995E-2</v>
      </c>
      <c r="AF66" s="271" t="str">
        <f t="shared" ref="AF66" si="62">IFERROR(IF(AG66=0,"",IF(AND(AG66&gt;0,AG66&lt;=0.2),"Leve",IF(AG66&lt;=0.4,"Menor",IF(AG66&lt;=0.6,"Moderado",IF(AG66&lt;=0.8,"Mayor","Catastrófico"))))),"")</f>
        <v>Mayor</v>
      </c>
      <c r="AG66" s="276">
        <f>MIN(AC66:AC67)</f>
        <v>0.8</v>
      </c>
      <c r="AH66" s="265" t="str">
        <f t="shared" ref="AH66" si="63">IFERROR(IF(OR(AND(AD66="Muy Baja",AF66="Leve"),AND(AD66="Muy Baja",AF66="Menor"),AND(AD66="Baja",AF66="Leve")),"Bajo",IF(OR(AND(AD66="Muy Baja",AF66="Moderado"),AND(AD66="Baja",AF66="Menor"),AND(AD66="Baja",AF66="Moderado"),AND(AD66="Media",AF66="Leve"),AND(AD66="Media",AF66="Menor"),AND(AD66="Media",AF66="Moderado"),AND(AD66="Alta",AF66="Leve"),AND(AD66="Alta",AF66="Menor")),"Moderado",IF(OR(AND(AD66="Muy Baja",AF66="Mayor"),AND(AD66="Baja",AF66="Mayor"),AND(AD66="Media",AF66="Mayor"),AND(AD66="Alta",AF66="Moderado"),AND(AD66="Alta",AF66="Mayor"),AND(AD66="Muy Alta",AF66="Leve"),AND(AD66="Muy Alta",AF66="Menor"),AND(AD66="Muy Alta",AF66="Moderado"),AND(AD66="Muy Alta",AF66="Mayor")),"Alto",IF(OR(AND(AD66="Muy Baja",AF66="Catastrófico"),AND(AD66="Baja",AF66="Catastrófico"),AND(AD66="Media",AF66="Catastrófico"),AND(AD66="Alta",AF66="Catastrófico"),AND(AD66="Muy Alta",AF66="Catastrófico")),"Extremo","")))),"")</f>
        <v>Alto</v>
      </c>
      <c r="AI66" s="303" t="s">
        <v>151</v>
      </c>
      <c r="AJ66" s="310"/>
      <c r="AK66" s="305" t="s">
        <v>152</v>
      </c>
      <c r="AL66" s="287"/>
      <c r="AM66" s="305" t="s">
        <v>152</v>
      </c>
      <c r="AN66" s="287"/>
      <c r="AO66" s="305" t="s">
        <v>152</v>
      </c>
      <c r="AP66" s="287"/>
      <c r="AQ66" s="305" t="s">
        <v>152</v>
      </c>
      <c r="AR66" s="287"/>
      <c r="AS66" s="79"/>
      <c r="AT66" s="79"/>
      <c r="AU66" s="79"/>
      <c r="AV66" s="79"/>
    </row>
    <row r="67" spans="1:58" s="80" customFormat="1" ht="239.25" hidden="1" customHeight="1" x14ac:dyDescent="0.3">
      <c r="A67" s="303"/>
      <c r="B67" s="319"/>
      <c r="C67" s="319"/>
      <c r="D67" s="319"/>
      <c r="E67" s="319"/>
      <c r="F67" s="319"/>
      <c r="G67" s="319"/>
      <c r="H67" s="102" t="s">
        <v>398</v>
      </c>
      <c r="I67" s="328"/>
      <c r="J67" s="272"/>
      <c r="K67" s="307"/>
      <c r="L67" s="272"/>
      <c r="M67" s="307"/>
      <c r="N67" s="308"/>
      <c r="O67" s="25">
        <v>2</v>
      </c>
      <c r="P67" s="75" t="s">
        <v>399</v>
      </c>
      <c r="Q67" s="25" t="str">
        <f t="shared" si="58"/>
        <v>Probabilidad</v>
      </c>
      <c r="R67" s="76" t="s">
        <v>145</v>
      </c>
      <c r="S67" s="76" t="s">
        <v>146</v>
      </c>
      <c r="T67" s="26" t="str">
        <f t="shared" si="59"/>
        <v>40%</v>
      </c>
      <c r="U67" s="76" t="s">
        <v>147</v>
      </c>
      <c r="V67" s="76" t="s">
        <v>148</v>
      </c>
      <c r="W67" s="76" t="s">
        <v>149</v>
      </c>
      <c r="X67" s="83" t="s">
        <v>400</v>
      </c>
      <c r="Y67" s="78">
        <f>IFERROR(IF(AND(Q66="Probabilidad",Q67="Probabilidad"),(AA66-(+AA66*T67)),IF(Q67="Probabilidad",(K66-(+K66*T67)),IF(Q67="Impacto",AA66,""))),"")</f>
        <v>7.1999999999999995E-2</v>
      </c>
      <c r="Z67" s="28" t="str">
        <f t="shared" si="60"/>
        <v>Muy Baja</v>
      </c>
      <c r="AA67" s="26">
        <f t="shared" ref="AA67" si="64">+Y67</f>
        <v>7.1999999999999995E-2</v>
      </c>
      <c r="AB67" s="28" t="str">
        <f t="shared" ref="AB67" si="65">IFERROR(IF(AC67="","",IF(AC67&lt;=0.2,"Leve",IF(AC67&lt;=0.4,"Menor",IF(AC67&lt;=0.6,"Moderado",IF(AC67&lt;=0.8,"Mayor","Catastrófico"))))),"")</f>
        <v>Mayor</v>
      </c>
      <c r="AC67" s="26">
        <f>IFERROR(IF(AND(Q66="Impacto",Q67="Impacto"),(AC66-(+AC66*T67)),IF(Q67="Impacto",(#REF!-(+#REF!*T67)),IF(Q67="Probabilidad",AC66,""))),"")</f>
        <v>0.8</v>
      </c>
      <c r="AD67" s="272"/>
      <c r="AE67" s="277"/>
      <c r="AF67" s="272"/>
      <c r="AG67" s="277"/>
      <c r="AH67" s="266"/>
      <c r="AI67" s="303"/>
      <c r="AJ67" s="311"/>
      <c r="AK67" s="305"/>
      <c r="AL67" s="287"/>
      <c r="AM67" s="305"/>
      <c r="AN67" s="287"/>
      <c r="AO67" s="305"/>
      <c r="AP67" s="287"/>
      <c r="AQ67" s="305"/>
      <c r="AR67" s="287"/>
      <c r="AS67" s="79"/>
      <c r="AT67" s="79"/>
      <c r="AU67" s="79"/>
      <c r="AV67" s="79"/>
    </row>
    <row r="68" spans="1:58" ht="135" hidden="1" customHeight="1" x14ac:dyDescent="0.25">
      <c r="A68" s="303" t="s">
        <v>401</v>
      </c>
      <c r="B68" s="320" t="s">
        <v>402</v>
      </c>
      <c r="C68" s="319" t="s">
        <v>391</v>
      </c>
      <c r="D68" s="319" t="s">
        <v>403</v>
      </c>
      <c r="E68" s="319" t="s">
        <v>404</v>
      </c>
      <c r="F68" s="316" t="s">
        <v>405</v>
      </c>
      <c r="G68" s="316" t="s">
        <v>406</v>
      </c>
      <c r="H68" s="103" t="s">
        <v>407</v>
      </c>
      <c r="I68" s="269" t="s">
        <v>141</v>
      </c>
      <c r="J68" s="271" t="s">
        <v>408</v>
      </c>
      <c r="K68" s="307">
        <f>IF(J68="","",IF(J68="Muy Baja",0.2,IF(J68="Baja",0.4,IF(J68="Media",0.6,IF(J68="Alta",0.8,IF(J68="Muy Alta",1,))))))</f>
        <v>0.2</v>
      </c>
      <c r="L68" s="271" t="s">
        <v>143</v>
      </c>
      <c r="M68" s="307">
        <f>IF(L68="","",IF(L68="Leve",0.2,IF(L68="Menor",0.4,IF(L68="Moderado",0.6,IF(L68="Mayor",0.8,IF(L68="Catastrófico",1,))))))</f>
        <v>0.8</v>
      </c>
      <c r="N68" s="308" t="str">
        <f>IF(OR(AND(J68="Muy Baja",L68="Leve"),AND(J68="Muy Baja",L68="Menor"),AND(J68="Baja",L68="Leve")),"Bajo",IF(OR(AND(J68="Muy baja",L68="Moderado"),AND(J68="Baja",L68="Menor"),AND(J68="Baja",L68="Moderado"),AND(J68="Media",L68="Leve"),AND(J68="Media",L68="Menor"),AND(J68="Media",L68="Moderado"),AND(J68="Alta",L68="Leve"),AND(J68="Alta",L68="Menor")),"Moderado",IF(OR(AND(J68="Muy Baja",L68="Mayor"),AND(J68="Baja",L68="Mayor"),AND(J68="Media",L68="Mayor"),AND(J68="Alta",L68="Moderado"),AND(J68="Alta",L68="Mayor"),AND(J68="Muy Alta",L68="Leve"),AND(J68="Muy Alta",L68="Menor"),AND(J68="Muy Alta",L68="Moderado"),AND(J68="Muy Alta",L68="Mayor")),"Alto",IF(OR(AND(J68="Muy Baja",L68="Catastrófico"),AND(J68="Baja",L68="Catastrófico"),AND(J68="Media",L68="Catastrófico"),AND(J68="Alta",L68="Catastrófico"),AND(J68="Muy Alta",L68="Catastrófico")),"Extremo",""))))</f>
        <v>Alto</v>
      </c>
      <c r="O68" s="25">
        <v>1</v>
      </c>
      <c r="P68" s="75" t="s">
        <v>409</v>
      </c>
      <c r="Q68" s="25" t="str">
        <f t="shared" si="58"/>
        <v>Probabilidad</v>
      </c>
      <c r="R68" s="76" t="s">
        <v>145</v>
      </c>
      <c r="S68" s="76" t="s">
        <v>146</v>
      </c>
      <c r="T68" s="26" t="str">
        <f t="shared" si="59"/>
        <v>40%</v>
      </c>
      <c r="U68" s="76" t="s">
        <v>147</v>
      </c>
      <c r="V68" s="76" t="s">
        <v>148</v>
      </c>
      <c r="W68" s="76" t="s">
        <v>149</v>
      </c>
      <c r="X68" s="83" t="s">
        <v>410</v>
      </c>
      <c r="Y68" s="78">
        <f>IFERROR(IF(Q68="Probabilidad",(K68-(+K68*T68)),IF(Q68="Impacto",K68,"")),"")</f>
        <v>0.12</v>
      </c>
      <c r="Z68" s="28" t="str">
        <f t="shared" si="60"/>
        <v>Muy Baja</v>
      </c>
      <c r="AA68" s="26">
        <f>+Y68</f>
        <v>0.12</v>
      </c>
      <c r="AB68" s="28" t="str">
        <f>IFERROR(IF(AC68="","",IF(AC68&lt;=0.2,"Leve",IF(AC68&lt;=0.4,"Menor",IF(AC68&lt;=0.6,"Moderado",IF(AC68&lt;=0.8,"Mayor","Catastrófico"))))),"")</f>
        <v>Mayor</v>
      </c>
      <c r="AC68" s="26">
        <f>IFERROR(IF(Q68="Impacto",(M68-(+M68*T68)),IF(Q68="Probabilidad",M68,"")),"")</f>
        <v>0.8</v>
      </c>
      <c r="AD68" s="271" t="str">
        <f>IFERROR(IF(AE68=0,"",IF(AND(AE68&gt;0,AE68&lt;=0.2),"Muy Baja",IF(AE68&lt;=0.4,"Baja",IF(AE68&lt;=0.6,"Media",IF(AE68&lt;=0.8,"Alta","Muy Alta"))))),"")</f>
        <v>Muy Baja</v>
      </c>
      <c r="AE68" s="276">
        <f>MIN(Y68:Y70)</f>
        <v>4.3199999999999995E-2</v>
      </c>
      <c r="AF68" s="271" t="str">
        <f>IFERROR(IF(AG68=0,"",IF(AND(AG68&gt;0,AG68&lt;=0.2),"Leve",IF(AG68&lt;=0.4,"Menor",IF(AG68&lt;=0.6,"Moderado",IF(AG68&lt;=0.8,"Mayor","Catastrófico"))))),"")</f>
        <v>Mayor</v>
      </c>
      <c r="AG68" s="276">
        <f>MIN(AC68:AC70)</f>
        <v>0.8</v>
      </c>
      <c r="AH68" s="265" t="str">
        <f>IFERROR(IF(OR(AND(AD68="Muy Baja",AF68="Leve"),AND(AD68="Muy Baja",AF68="Menor"),AND(AD68="Baja",AF68="Leve")),"Bajo",IF(OR(AND(AD68="Muy Baja",AF68="Moderado"),AND(AD68="Baja",AF68="Menor"),AND(AD68="Baja",AF68="Moderado"),AND(AD68="Media",AF68="Leve"),AND(AD68="Media",AF68="Menor"),AND(AD68="Media",AF68="Moderado"),AND(AD68="Alta",AF68="Leve"),AND(AD68="Alta",AF68="Menor")),"Moderado",IF(OR(AND(AD68="Muy Baja",AF68="Mayor"),AND(AD68="Baja",AF68="Mayor"),AND(AD68="Media",AF68="Mayor"),AND(AD68="Alta",AF68="Moderado"),AND(AD68="Alta",AF68="Mayor"),AND(AD68="Muy Alta",AF68="Leve"),AND(AD68="Muy Alta",AF68="Menor"),AND(AD68="Muy Alta",AF68="Moderado"),AND(AD68="Muy Alta",AF68="Mayor")),"Alto",IF(OR(AND(AD68="Muy Baja",AF68="Catastrófico"),AND(AD68="Baja",AF68="Catastrófico"),AND(AD68="Media",AF68="Catastrófico"),AND(AD68="Alta",AF68="Catastrófico"),AND(AD68="Muy Alta",AF68="Catastrófico")),"Extremo","")))),"")</f>
        <v>Alto</v>
      </c>
      <c r="AI68" s="303" t="s">
        <v>151</v>
      </c>
      <c r="AJ68" s="104" t="s">
        <v>411</v>
      </c>
      <c r="AK68" s="284" t="s">
        <v>152</v>
      </c>
      <c r="AL68" s="287"/>
      <c r="AM68" s="284" t="s">
        <v>152</v>
      </c>
      <c r="AN68" s="287"/>
      <c r="AO68" s="284" t="s">
        <v>152</v>
      </c>
      <c r="AP68" s="287"/>
      <c r="AQ68" s="284" t="s">
        <v>152</v>
      </c>
      <c r="AR68" s="287"/>
      <c r="AS68" s="61"/>
      <c r="AT68" s="61"/>
      <c r="AU68" s="61"/>
      <c r="AV68" s="61"/>
    </row>
    <row r="69" spans="1:58" ht="135" hidden="1" customHeight="1" x14ac:dyDescent="0.25">
      <c r="A69" s="303"/>
      <c r="B69" s="320"/>
      <c r="C69" s="319"/>
      <c r="D69" s="319"/>
      <c r="E69" s="319"/>
      <c r="F69" s="316"/>
      <c r="G69" s="316"/>
      <c r="H69" s="103" t="s">
        <v>412</v>
      </c>
      <c r="I69" s="270"/>
      <c r="J69" s="272"/>
      <c r="K69" s="307"/>
      <c r="L69" s="272"/>
      <c r="M69" s="307"/>
      <c r="N69" s="308"/>
      <c r="O69" s="25">
        <v>2</v>
      </c>
      <c r="P69" s="75" t="s">
        <v>413</v>
      </c>
      <c r="Q69" s="25" t="str">
        <f t="shared" si="58"/>
        <v>Probabilidad</v>
      </c>
      <c r="R69" s="76" t="s">
        <v>145</v>
      </c>
      <c r="S69" s="76" t="s">
        <v>146</v>
      </c>
      <c r="T69" s="26" t="str">
        <f t="shared" si="59"/>
        <v>40%</v>
      </c>
      <c r="U69" s="76" t="s">
        <v>147</v>
      </c>
      <c r="V69" s="76" t="s">
        <v>148</v>
      </c>
      <c r="W69" s="76" t="s">
        <v>149</v>
      </c>
      <c r="X69" s="83" t="s">
        <v>278</v>
      </c>
      <c r="Y69" s="78">
        <f>IFERROR(IF(AND(Q68="Probabilidad",Q69="Probabilidad"),(AA68-(+AA68*T69)),IF(Q69="Probabilidad",(K68-(+K68*T69)),IF(Q69="Impacto",AA68,""))),"")</f>
        <v>7.1999999999999995E-2</v>
      </c>
      <c r="Z69" s="28" t="str">
        <f t="shared" si="60"/>
        <v>Muy Baja</v>
      </c>
      <c r="AA69" s="26">
        <f t="shared" ref="AA69:AA70" si="66">+Y69</f>
        <v>7.1999999999999995E-2</v>
      </c>
      <c r="AB69" s="28" t="str">
        <f t="shared" ref="AB69:AB70" si="67">IFERROR(IF(AC69="","",IF(AC69&lt;=0.2,"Leve",IF(AC69&lt;=0.4,"Menor",IF(AC69&lt;=0.6,"Moderado",IF(AC69&lt;=0.8,"Mayor","Catastrófico"))))),"")</f>
        <v>Mayor</v>
      </c>
      <c r="AC69" s="26">
        <f>IFERROR(IF(AND(Q68="Impacto",Q69="Impacto"),(AC68-(+AC68*T69)),IF(Q69="Impacto",(#REF!-(+#REF!*T69)),IF(Q69="Probabilidad",AC68,""))),"")</f>
        <v>0.8</v>
      </c>
      <c r="AD69" s="272"/>
      <c r="AE69" s="277"/>
      <c r="AF69" s="272"/>
      <c r="AG69" s="277"/>
      <c r="AH69" s="266"/>
      <c r="AI69" s="303"/>
      <c r="AJ69" s="104" t="s">
        <v>414</v>
      </c>
      <c r="AK69" s="284"/>
      <c r="AL69" s="287"/>
      <c r="AM69" s="284"/>
      <c r="AN69" s="287"/>
      <c r="AO69" s="284"/>
      <c r="AP69" s="287"/>
      <c r="AQ69" s="284"/>
      <c r="AR69" s="287"/>
      <c r="AS69" s="61"/>
      <c r="AT69" s="61"/>
      <c r="AU69" s="61"/>
      <c r="AV69" s="61"/>
    </row>
    <row r="70" spans="1:58" ht="135" hidden="1" customHeight="1" x14ac:dyDescent="0.25">
      <c r="A70" s="303"/>
      <c r="B70" s="320"/>
      <c r="C70" s="319"/>
      <c r="D70" s="319"/>
      <c r="E70" s="319"/>
      <c r="F70" s="316"/>
      <c r="G70" s="316"/>
      <c r="H70" s="103" t="s">
        <v>415</v>
      </c>
      <c r="I70" s="273"/>
      <c r="J70" s="272"/>
      <c r="K70" s="307"/>
      <c r="L70" s="272"/>
      <c r="M70" s="307"/>
      <c r="N70" s="308"/>
      <c r="O70" s="25">
        <v>3</v>
      </c>
      <c r="P70" s="75" t="s">
        <v>416</v>
      </c>
      <c r="Q70" s="25" t="str">
        <f t="shared" si="58"/>
        <v>Probabilidad</v>
      </c>
      <c r="R70" s="76" t="s">
        <v>145</v>
      </c>
      <c r="S70" s="76" t="s">
        <v>146</v>
      </c>
      <c r="T70" s="26" t="str">
        <f t="shared" si="59"/>
        <v>40%</v>
      </c>
      <c r="U70" s="76" t="s">
        <v>147</v>
      </c>
      <c r="V70" s="76" t="s">
        <v>148</v>
      </c>
      <c r="W70" s="76" t="s">
        <v>149</v>
      </c>
      <c r="X70" s="83" t="s">
        <v>417</v>
      </c>
      <c r="Y70" s="78">
        <f>IFERROR(IF(AND(Q69="Probabilidad",Q70="Probabilidad"),(AA69-(+AA69*T70)),IF(AND(Q69="Impacto",Q70="Probabilidad"),(AA68-(+AA68*T70)),IF(Q70="Impacto",AA69,""))),"")</f>
        <v>4.3199999999999995E-2</v>
      </c>
      <c r="Z70" s="28" t="str">
        <f t="shared" si="60"/>
        <v>Muy Baja</v>
      </c>
      <c r="AA70" s="26">
        <f t="shared" si="66"/>
        <v>4.3199999999999995E-2</v>
      </c>
      <c r="AB70" s="28" t="str">
        <f t="shared" si="67"/>
        <v>Mayor</v>
      </c>
      <c r="AC70" s="26">
        <f>IFERROR(IF(AND(Q69="Impacto",Q70="Impacto"),(AC69-(+AC69*T70)),IF(AND(Q69="Probabilidad",Q70="Impacto"),(AC68-(+AC68*T70)),IF(Q70="Probabilidad",AC69,""))),"")</f>
        <v>0.8</v>
      </c>
      <c r="AD70" s="278"/>
      <c r="AE70" s="281"/>
      <c r="AF70" s="278"/>
      <c r="AG70" s="281"/>
      <c r="AH70" s="280"/>
      <c r="AI70" s="303"/>
      <c r="AJ70" s="104" t="s">
        <v>418</v>
      </c>
      <c r="AK70" s="284"/>
      <c r="AL70" s="287"/>
      <c r="AM70" s="284"/>
      <c r="AN70" s="287"/>
      <c r="AO70" s="284"/>
      <c r="AP70" s="287"/>
      <c r="AQ70" s="284"/>
      <c r="AR70" s="287"/>
      <c r="AS70" s="61"/>
      <c r="AT70" s="61"/>
      <c r="AU70" s="61"/>
      <c r="AV70" s="61"/>
    </row>
    <row r="71" spans="1:58" ht="78.45" hidden="1" customHeight="1" x14ac:dyDescent="0.25">
      <c r="A71" s="303" t="s">
        <v>419</v>
      </c>
      <c r="B71" s="304" t="s">
        <v>420</v>
      </c>
      <c r="C71" s="319" t="s">
        <v>391</v>
      </c>
      <c r="D71" s="319" t="s">
        <v>187</v>
      </c>
      <c r="E71" s="304" t="s">
        <v>421</v>
      </c>
      <c r="F71" s="304" t="s">
        <v>422</v>
      </c>
      <c r="G71" s="309" t="s">
        <v>423</v>
      </c>
      <c r="H71" s="105" t="s">
        <v>424</v>
      </c>
      <c r="I71" s="304" t="s">
        <v>141</v>
      </c>
      <c r="J71" s="315" t="s">
        <v>239</v>
      </c>
      <c r="K71" s="307">
        <f>IF(J71="","",IF(J71="Muy Baja",0.2,IF(J71="Baja",0.4,IF(J71="Media",0.6,IF(J71="Alta",0.8,IF(J71="Muy Alta",1,))))))</f>
        <v>0.4</v>
      </c>
      <c r="L71" s="315" t="s">
        <v>240</v>
      </c>
      <c r="M71" s="307">
        <f>IF(L71="","",IF(L71="Leve",0.2,IF(L71="Menor",0.4,IF(L71="Moderado",0.6,IF(L71="Mayor",0.8,IF(L71="Catastrófico",1,))))))</f>
        <v>1</v>
      </c>
      <c r="N71" s="308" t="str">
        <f>IF(OR(AND(J71="Muy Baja",L71="Leve"),AND(J71="Muy Baja",L71="Menor"),AND(J71="Baja",L71="Leve")),"Bajo",IF(OR(AND(J71="Muy baja",L71="Moderado"),AND(J71="Baja",L71="Menor"),AND(J71="Baja",L71="Moderado"),AND(J71="Media",L71="Leve"),AND(J71="Media",L71="Menor"),AND(J71="Media",L71="Moderado"),AND(J71="Alta",L71="Leve"),AND(J71="Alta",L71="Menor")),"Moderado",IF(OR(AND(J71="Muy Baja",L71="Mayor"),AND(J71="Baja",L71="Mayor"),AND(J71="Media",L71="Mayor"),AND(J71="Alta",L71="Moderado"),AND(J71="Alta",L71="Mayor"),AND(J71="Muy Alta",L71="Leve"),AND(J71="Muy Alta",L71="Menor"),AND(J71="Muy Alta",L71="Moderado"),AND(J71="Muy Alta",L71="Mayor")),"Alto",IF(OR(AND(J71="Muy Baja",L71="Catastrófico"),AND(J71="Baja",L71="Catastrófico"),AND(J71="Media",L71="Catastrófico"),AND(J71="Alta",L71="Catastrófico"),AND(J71="Muy Alta",L71="Catastrófico")),"Extremo",""))))</f>
        <v>Extremo</v>
      </c>
      <c r="O71" s="25">
        <v>1</v>
      </c>
      <c r="P71" s="75" t="s">
        <v>425</v>
      </c>
      <c r="Q71" s="25" t="str">
        <f t="shared" si="58"/>
        <v>Impacto</v>
      </c>
      <c r="R71" s="76" t="s">
        <v>207</v>
      </c>
      <c r="S71" s="76" t="s">
        <v>146</v>
      </c>
      <c r="T71" s="26" t="str">
        <f t="shared" si="59"/>
        <v>25%</v>
      </c>
      <c r="U71" s="76" t="s">
        <v>147</v>
      </c>
      <c r="V71" s="76" t="s">
        <v>148</v>
      </c>
      <c r="W71" s="76" t="s">
        <v>149</v>
      </c>
      <c r="X71" s="83" t="s">
        <v>426</v>
      </c>
      <c r="Y71" s="78">
        <f>IFERROR(IF(Q71="Probabilidad",(K71-(+K71*T71)),IF(Q71="Impacto",K71,"")),"")</f>
        <v>0.4</v>
      </c>
      <c r="Z71" s="28" t="str">
        <f t="shared" si="60"/>
        <v>Baja</v>
      </c>
      <c r="AA71" s="26">
        <f>+Y71</f>
        <v>0.4</v>
      </c>
      <c r="AB71" s="28" t="str">
        <f>IFERROR(IF(AC71="","",IF(AC71&lt;=0.2,"Leve",IF(AC71&lt;=0.4,"Menor",IF(AC71&lt;=0.6,"Moderado",IF(AC71&lt;=0.8,"Mayor","Catastrófico"))))),"")</f>
        <v>Mayor</v>
      </c>
      <c r="AC71" s="26">
        <f>IFERROR(IF(Q71="Impacto",(M71-(+M71*T71)),IF(Q71="Probabilidad",M71,"")),"")</f>
        <v>0.75</v>
      </c>
      <c r="AD71" s="271" t="str">
        <f>IFERROR(IF(AE71=0,"",IF(AND(AE71&gt;0,AE71&lt;=0.2),"Muy Baja",IF(AE71&lt;=0.4,"Baja",IF(AE71&lt;=0.6,"Media",IF(AE71&lt;=0.8,"Alta","Muy Alta"))))),"")</f>
        <v>Baja</v>
      </c>
      <c r="AE71" s="276">
        <f>MIN(Y71:Y74)</f>
        <v>0.24</v>
      </c>
      <c r="AF71" s="271" t="str">
        <f>IFERROR(IF(AG71=0,"",IF(AND(AG71&gt;0,AG71&lt;=0.2),"Leve",IF(AG71&lt;=0.4,"Menor",IF(AG71&lt;=0.6,"Moderado",IF(AG71&lt;=0.8,"Mayor","Catastrófico"))))),"")</f>
        <v>Moderado</v>
      </c>
      <c r="AG71" s="276">
        <f>MIN(AC71:AC74)</f>
        <v>0.421875</v>
      </c>
      <c r="AH71" s="265" t="str">
        <f>IFERROR(IF(OR(AND(AD71="Muy Baja",AF71="Leve"),AND(AD71="Muy Baja",AF71="Menor"),AND(AD71="Baja",AF71="Leve")),"Bajo",IF(OR(AND(AD71="Muy Baja",AF71="Moderado"),AND(AD71="Baja",AF71="Menor"),AND(AD71="Baja",AF71="Moderado"),AND(AD71="Media",AF71="Leve"),AND(AD71="Media",AF71="Menor"),AND(AD71="Media",AF71="Moderado"),AND(AD71="Alta",AF71="Leve"),AND(AD71="Alta",AF71="Menor")),"Moderado",IF(OR(AND(AD71="Muy Baja",AF71="Mayor"),AND(AD71="Baja",AF71="Mayor"),AND(AD71="Media",AF71="Mayor"),AND(AD71="Alta",AF71="Moderado"),AND(AD71="Alta",AF71="Mayor"),AND(AD71="Muy Alta",AF71="Leve"),AND(AD71="Muy Alta",AF71="Menor"),AND(AD71="Muy Alta",AF71="Moderado"),AND(AD71="Muy Alta",AF71="Mayor")),"Alto",IF(OR(AND(AD71="Muy Baja",AF71="Catastrófico"),AND(AD71="Baja",AF71="Catastrófico"),AND(AD71="Media",AF71="Catastrófico"),AND(AD71="Alta",AF71="Catastrófico"),AND(AD71="Muy Alta",AF71="Catastrófico")),"Extremo","")))),"")</f>
        <v>Moderado</v>
      </c>
      <c r="AI71" s="303" t="s">
        <v>427</v>
      </c>
      <c r="AJ71" s="105" t="s">
        <v>428</v>
      </c>
      <c r="AK71" s="287" t="s">
        <v>152</v>
      </c>
      <c r="AL71" s="288"/>
      <c r="AM71" s="287" t="s">
        <v>152</v>
      </c>
      <c r="AN71" s="288"/>
      <c r="AO71" s="287" t="s">
        <v>152</v>
      </c>
      <c r="AP71" s="288"/>
      <c r="AQ71" s="287" t="s">
        <v>152</v>
      </c>
      <c r="AR71" s="288"/>
      <c r="AS71" s="61"/>
      <c r="AT71" s="61"/>
      <c r="AU71" s="61"/>
      <c r="AV71" s="61"/>
    </row>
    <row r="72" spans="1:58" ht="78" hidden="1" customHeight="1" x14ac:dyDescent="0.25">
      <c r="A72" s="303"/>
      <c r="B72" s="304"/>
      <c r="C72" s="319"/>
      <c r="D72" s="319"/>
      <c r="E72" s="304"/>
      <c r="F72" s="304"/>
      <c r="G72" s="309"/>
      <c r="H72" s="105" t="s">
        <v>429</v>
      </c>
      <c r="I72" s="304"/>
      <c r="J72" s="315"/>
      <c r="K72" s="307"/>
      <c r="L72" s="315"/>
      <c r="M72" s="307"/>
      <c r="N72" s="308"/>
      <c r="O72" s="25">
        <v>2</v>
      </c>
      <c r="P72" s="75" t="s">
        <v>430</v>
      </c>
      <c r="Q72" s="25" t="str">
        <f t="shared" si="58"/>
        <v>Impacto</v>
      </c>
      <c r="R72" s="76" t="s">
        <v>207</v>
      </c>
      <c r="S72" s="76" t="s">
        <v>146</v>
      </c>
      <c r="T72" s="26" t="str">
        <f t="shared" si="59"/>
        <v>25%</v>
      </c>
      <c r="U72" s="76" t="s">
        <v>147</v>
      </c>
      <c r="V72" s="76" t="s">
        <v>148</v>
      </c>
      <c r="W72" s="76" t="s">
        <v>149</v>
      </c>
      <c r="X72" s="83" t="s">
        <v>431</v>
      </c>
      <c r="Y72" s="78">
        <f>IFERROR(IF(AND(Q71="Probabilidad",Q72="Probabilidad"),(AA71-(+AA71*T72)),IF(Q72="Probabilidad",(K71-(+K71*T72)),IF(Q72="Impacto",AA71,""))),"")</f>
        <v>0.4</v>
      </c>
      <c r="Z72" s="28" t="str">
        <f t="shared" si="60"/>
        <v>Baja</v>
      </c>
      <c r="AA72" s="26">
        <f t="shared" ref="AA72:AA74" si="68">+Y72</f>
        <v>0.4</v>
      </c>
      <c r="AB72" s="28" t="str">
        <f t="shared" ref="AB72:AB74" si="69">IFERROR(IF(AC72="","",IF(AC72&lt;=0.2,"Leve",IF(AC72&lt;=0.4,"Menor",IF(AC72&lt;=0.6,"Moderado",IF(AC72&lt;=0.8,"Mayor","Catastrófico"))))),"")</f>
        <v>Moderado</v>
      </c>
      <c r="AC72" s="26">
        <f>IFERROR(IF(AND(Q71="Impacto",Q72="Impacto"),(AC71-(+AC71*T72)),IF(Q72="Impacto",(#REF!-(+#REF!*T72)),IF(Q72="Probabilidad",AC71,""))),"")</f>
        <v>0.5625</v>
      </c>
      <c r="AD72" s="272"/>
      <c r="AE72" s="277"/>
      <c r="AF72" s="272"/>
      <c r="AG72" s="277"/>
      <c r="AH72" s="266"/>
      <c r="AI72" s="303"/>
      <c r="AJ72" s="105" t="s">
        <v>432</v>
      </c>
      <c r="AK72" s="287"/>
      <c r="AL72" s="288"/>
      <c r="AM72" s="287"/>
      <c r="AN72" s="288"/>
      <c r="AO72" s="287"/>
      <c r="AP72" s="288"/>
      <c r="AQ72" s="287"/>
      <c r="AR72" s="288"/>
      <c r="AS72" s="61"/>
      <c r="AT72" s="61"/>
      <c r="AU72" s="61"/>
      <c r="AV72" s="61"/>
    </row>
    <row r="73" spans="1:58" ht="120.45" hidden="1" customHeight="1" x14ac:dyDescent="0.25">
      <c r="A73" s="303"/>
      <c r="B73" s="304"/>
      <c r="C73" s="319"/>
      <c r="D73" s="319"/>
      <c r="E73" s="304"/>
      <c r="F73" s="304"/>
      <c r="G73" s="309"/>
      <c r="H73" s="105" t="s">
        <v>433</v>
      </c>
      <c r="I73" s="304"/>
      <c r="J73" s="315"/>
      <c r="K73" s="307"/>
      <c r="L73" s="315"/>
      <c r="M73" s="307"/>
      <c r="N73" s="308"/>
      <c r="O73" s="25">
        <v>3</v>
      </c>
      <c r="P73" s="75" t="s">
        <v>434</v>
      </c>
      <c r="Q73" s="25" t="str">
        <f t="shared" si="58"/>
        <v>Probabilidad</v>
      </c>
      <c r="R73" s="76" t="s">
        <v>145</v>
      </c>
      <c r="S73" s="76" t="s">
        <v>146</v>
      </c>
      <c r="T73" s="26" t="str">
        <f t="shared" si="59"/>
        <v>40%</v>
      </c>
      <c r="U73" s="76" t="s">
        <v>147</v>
      </c>
      <c r="V73" s="76" t="s">
        <v>148</v>
      </c>
      <c r="W73" s="76" t="s">
        <v>149</v>
      </c>
      <c r="X73" s="83" t="s">
        <v>435</v>
      </c>
      <c r="Y73" s="78">
        <f>IFERROR(IF(AND(Q72="Probabilidad",Q73="Probabilidad"),(AA72-(+AA72*T73)),IF(AND(Q72="Impacto",Q73="Probabilidad"),(AA71-(+AA71*T73)),IF(Q73="Impacto",AA72,""))),"")</f>
        <v>0.24</v>
      </c>
      <c r="Z73" s="28" t="str">
        <f t="shared" si="60"/>
        <v>Baja</v>
      </c>
      <c r="AA73" s="26">
        <f t="shared" si="68"/>
        <v>0.24</v>
      </c>
      <c r="AB73" s="28" t="str">
        <f t="shared" si="69"/>
        <v>Moderado</v>
      </c>
      <c r="AC73" s="26">
        <f>IFERROR(IF(AND(Q72="Impacto",Q73="Impacto"),(AC72-(+AC72*T73)),IF(AND(Q72="Probabilidad",Q73="Impacto"),(AC71-(+AC71*T73)),IF(Q73="Probabilidad",AC72,""))),"")</f>
        <v>0.5625</v>
      </c>
      <c r="AD73" s="272"/>
      <c r="AE73" s="277"/>
      <c r="AF73" s="272"/>
      <c r="AG73" s="277"/>
      <c r="AH73" s="266"/>
      <c r="AI73" s="303"/>
      <c r="AJ73" s="91" t="s">
        <v>436</v>
      </c>
      <c r="AK73" s="287"/>
      <c r="AL73" s="288"/>
      <c r="AM73" s="287"/>
      <c r="AN73" s="288"/>
      <c r="AO73" s="287"/>
      <c r="AP73" s="288"/>
      <c r="AQ73" s="287"/>
      <c r="AR73" s="288"/>
      <c r="AS73" s="61"/>
      <c r="AT73" s="61"/>
      <c r="AU73" s="61"/>
      <c r="AV73" s="61"/>
    </row>
    <row r="74" spans="1:58" ht="169.5" hidden="1" customHeight="1" x14ac:dyDescent="0.25">
      <c r="A74" s="303"/>
      <c r="B74" s="304"/>
      <c r="C74" s="319"/>
      <c r="D74" s="319"/>
      <c r="E74" s="304"/>
      <c r="F74" s="304"/>
      <c r="G74" s="309"/>
      <c r="H74" s="75" t="s">
        <v>437</v>
      </c>
      <c r="I74" s="304"/>
      <c r="J74" s="315"/>
      <c r="K74" s="307"/>
      <c r="L74" s="315"/>
      <c r="M74" s="307"/>
      <c r="N74" s="308"/>
      <c r="O74" s="25">
        <v>4</v>
      </c>
      <c r="P74" s="75" t="s">
        <v>438</v>
      </c>
      <c r="Q74" s="25" t="str">
        <f t="shared" si="58"/>
        <v>Impacto</v>
      </c>
      <c r="R74" s="76" t="s">
        <v>207</v>
      </c>
      <c r="S74" s="76" t="s">
        <v>146</v>
      </c>
      <c r="T74" s="26" t="str">
        <f t="shared" si="59"/>
        <v>25%</v>
      </c>
      <c r="U74" s="76" t="s">
        <v>147</v>
      </c>
      <c r="V74" s="76" t="s">
        <v>148</v>
      </c>
      <c r="W74" s="76" t="s">
        <v>149</v>
      </c>
      <c r="X74" s="83" t="s">
        <v>435</v>
      </c>
      <c r="Y74" s="78">
        <f>IFERROR(IF(AND(Q73="Probabilidad",Q74="Probabilidad"),(AA73-(+AA73*T74)),IF(AND(Q73="Impacto",Q74="Probabilidad"),(AA72-(+AA72*T74)),IF(Q74="Impacto",AA73,""))),"")</f>
        <v>0.24</v>
      </c>
      <c r="Z74" s="28" t="str">
        <f t="shared" si="60"/>
        <v>Baja</v>
      </c>
      <c r="AA74" s="26">
        <f t="shared" si="68"/>
        <v>0.24</v>
      </c>
      <c r="AB74" s="28" t="str">
        <f t="shared" si="69"/>
        <v>Moderado</v>
      </c>
      <c r="AC74" s="26">
        <f>IFERROR(IF(AND(Q73="Impacto",Q74="Impacto"),(AC73-(+AC73*T74)),IF(AND(Q73="Probabilidad",Q74="Impacto"),(AC72-(+AC72*T74)),IF(Q74="Probabilidad",AC73,""))),"")</f>
        <v>0.421875</v>
      </c>
      <c r="AD74" s="272"/>
      <c r="AE74" s="277"/>
      <c r="AF74" s="272"/>
      <c r="AG74" s="277"/>
      <c r="AH74" s="266"/>
      <c r="AI74" s="303"/>
      <c r="AJ74" s="91" t="s">
        <v>439</v>
      </c>
      <c r="AK74" s="287"/>
      <c r="AL74" s="288"/>
      <c r="AM74" s="287"/>
      <c r="AN74" s="288"/>
      <c r="AO74" s="287"/>
      <c r="AP74" s="288"/>
      <c r="AQ74" s="287"/>
      <c r="AR74" s="288"/>
      <c r="AS74" s="61"/>
      <c r="AT74" s="61"/>
      <c r="AU74" s="61"/>
      <c r="AV74" s="61"/>
    </row>
    <row r="75" spans="1:58" ht="127.2" hidden="1" customHeight="1" x14ac:dyDescent="0.25">
      <c r="A75" s="290" t="s">
        <v>440</v>
      </c>
      <c r="B75" s="273" t="s">
        <v>441</v>
      </c>
      <c r="C75" s="321" t="s">
        <v>391</v>
      </c>
      <c r="D75" s="321" t="s">
        <v>234</v>
      </c>
      <c r="E75" s="273" t="s">
        <v>442</v>
      </c>
      <c r="F75" s="273" t="s">
        <v>443</v>
      </c>
      <c r="G75" s="273" t="s">
        <v>444</v>
      </c>
      <c r="H75" s="75" t="s">
        <v>445</v>
      </c>
      <c r="I75" s="314" t="s">
        <v>141</v>
      </c>
      <c r="J75" s="272" t="s">
        <v>239</v>
      </c>
      <c r="K75" s="274">
        <f>IF(J75="","",IF(J75="Muy Baja",0.2,IF(J75="Baja",0.4,IF(J75="Media",0.6,IF(J75="Alta",0.8,IF(J75="Muy Alta",1,))))))</f>
        <v>0.4</v>
      </c>
      <c r="L75" s="272" t="s">
        <v>240</v>
      </c>
      <c r="M75" s="274">
        <f>IF(L75="","",IF(L75="Leve",0.2,IF(L75="Menor",0.4,IF(L75="Moderado",0.6,IF(L75="Mayor",0.8,IF(L75="Catastrófico",1,))))))</f>
        <v>1</v>
      </c>
      <c r="N75" s="266" t="s">
        <v>315</v>
      </c>
      <c r="O75" s="97">
        <v>1</v>
      </c>
      <c r="P75" s="75" t="s">
        <v>446</v>
      </c>
      <c r="Q75" s="25" t="str">
        <f t="shared" si="58"/>
        <v>Probabilidad</v>
      </c>
      <c r="R75" s="76" t="s">
        <v>145</v>
      </c>
      <c r="S75" s="76" t="s">
        <v>146</v>
      </c>
      <c r="T75" s="26" t="str">
        <f t="shared" si="59"/>
        <v>40%</v>
      </c>
      <c r="U75" s="76" t="s">
        <v>147</v>
      </c>
      <c r="V75" s="76" t="s">
        <v>148</v>
      </c>
      <c r="W75" s="76" t="s">
        <v>149</v>
      </c>
      <c r="X75" s="83" t="s">
        <v>435</v>
      </c>
      <c r="Y75" s="78">
        <f>IFERROR(IF(Q75="Probabilidad",(K75-(+K75*T75)),IF(Q75="Impacto",K75,"")),"")</f>
        <v>0.24</v>
      </c>
      <c r="Z75" s="28" t="str">
        <f t="shared" si="60"/>
        <v>Baja</v>
      </c>
      <c r="AA75" s="26">
        <f>+Y75</f>
        <v>0.24</v>
      </c>
      <c r="AB75" s="28" t="str">
        <f>IFERROR(IF(AC75="","",IF(AC75&lt;=0.2,"Leve",IF(AC75&lt;=0.4,"Menor",IF(AC75&lt;=0.6,"Moderado",IF(AC75&lt;=0.8,"Mayor","Catastrófico"))))),"")</f>
        <v>Catastrófico</v>
      </c>
      <c r="AC75" s="26">
        <f>IFERROR(IF(Q75="Impacto",(M75-(+M75*T75)),IF(Q75="Probabilidad",M75,"")),"")</f>
        <v>1</v>
      </c>
      <c r="AD75" s="271" t="str">
        <f>IFERROR(IF(AE75=0,"",IF(AND(AE75&gt;0,AE75&lt;=0.2),"Muy Baja",IF(AE75&lt;=0.4,"Baja",IF(AE75&lt;=0.6,"Media",IF(AE75&lt;=0.8,"Alta","Muy Alta"))))),"")</f>
        <v>Muy Baja</v>
      </c>
      <c r="AE75" s="276">
        <f>MIN(Y75:Y80)</f>
        <v>5.183999999999999E-2</v>
      </c>
      <c r="AF75" s="271" t="str">
        <f>IFERROR(IF(AG75=0,"",IF(AND(AG75&gt;0,AG75&lt;=0.2),"Leve",IF(AG75&lt;=0.4,"Menor",IF(AG75&lt;=0.6,"Moderado",IF(AG75&lt;=0.8,"Mayor","Catastrófico"))))),"")</f>
        <v>Moderado</v>
      </c>
      <c r="AG75" s="276">
        <f t="shared" ref="AG75" si="70">MIN(AC75:AC80)</f>
        <v>0.5625</v>
      </c>
      <c r="AH75" s="265" t="str">
        <f>IFERROR(IF(OR(AND(AD75="Muy Baja",AF75="Leve"),AND(AD75="Muy Baja",AF75="Menor"),AND(AD75="Baja",AF75="Leve")),"Bajo",IF(OR(AND(AD75="Muy Baja",AF75="Moderado"),AND(AD75="Baja",AF75="Menor"),AND(AD75="Baja",AF75="Moderado"),AND(AD75="Media",AF75="Leve"),AND(AD75="Media",AF75="Menor"),AND(AD75="Media",AF75="Moderado"),AND(AD75="Alta",AF75="Leve"),AND(AD75="Alta",AF75="Menor")),"Moderado",IF(OR(AND(AD75="Muy Baja",AF75="Mayor"),AND(AD75="Baja",AF75="Mayor"),AND(AD75="Media",AF75="Mayor"),AND(AD75="Alta",AF75="Moderado"),AND(AD75="Alta",AF75="Mayor"),AND(AD75="Muy Alta",AF75="Leve"),AND(AD75="Muy Alta",AF75="Menor"),AND(AD75="Muy Alta",AF75="Moderado"),AND(AD75="Muy Alta",AF75="Mayor")),"Alto",IF(OR(AND(AD75="Muy Baja",AF75="Catastrófico"),AND(AD75="Baja",AF75="Catastrófico"),AND(AD75="Media",AF75="Catastrófico"),AND(AD75="Alta",AF75="Catastrófico"),AND(AD75="Muy Alta",AF75="Catastrófico")),"Extremo","")))),"")</f>
        <v>Moderado</v>
      </c>
      <c r="AI75" s="303" t="s">
        <v>151</v>
      </c>
      <c r="AJ75" s="104" t="s">
        <v>447</v>
      </c>
      <c r="AK75" s="284" t="s">
        <v>152</v>
      </c>
      <c r="AL75" s="288"/>
      <c r="AM75" s="284" t="s">
        <v>152</v>
      </c>
      <c r="AN75" s="288"/>
      <c r="AO75" s="284" t="s">
        <v>152</v>
      </c>
      <c r="AP75" s="288"/>
      <c r="AQ75" s="284" t="s">
        <v>152</v>
      </c>
      <c r="AR75" s="288"/>
      <c r="AS75" s="61"/>
      <c r="AT75" s="61"/>
      <c r="AU75" s="61"/>
      <c r="AV75" s="61"/>
    </row>
    <row r="76" spans="1:58" ht="148.94999999999999" hidden="1" customHeight="1" x14ac:dyDescent="0.25">
      <c r="A76" s="303"/>
      <c r="B76" s="304"/>
      <c r="C76" s="319"/>
      <c r="D76" s="319"/>
      <c r="E76" s="304"/>
      <c r="F76" s="304"/>
      <c r="G76" s="304"/>
      <c r="H76" s="269" t="s">
        <v>448</v>
      </c>
      <c r="I76" s="314"/>
      <c r="J76" s="272"/>
      <c r="K76" s="275"/>
      <c r="L76" s="272"/>
      <c r="M76" s="275"/>
      <c r="N76" s="266"/>
      <c r="O76" s="25">
        <v>2</v>
      </c>
      <c r="P76" s="75" t="s">
        <v>449</v>
      </c>
      <c r="Q76" s="25" t="str">
        <f t="shared" si="58"/>
        <v>Probabilidad</v>
      </c>
      <c r="R76" s="76" t="s">
        <v>145</v>
      </c>
      <c r="S76" s="76" t="s">
        <v>146</v>
      </c>
      <c r="T76" s="26" t="str">
        <f t="shared" si="59"/>
        <v>40%</v>
      </c>
      <c r="U76" s="76" t="s">
        <v>147</v>
      </c>
      <c r="V76" s="76" t="s">
        <v>148</v>
      </c>
      <c r="W76" s="76" t="s">
        <v>149</v>
      </c>
      <c r="X76" s="83" t="s">
        <v>410</v>
      </c>
      <c r="Y76" s="78">
        <f>IFERROR(IF(AND(Q75="Probabilidad",Q76="Probabilidad"),(AA75-(+AA75*T76)),IF(Q76="Probabilidad",(K75-(+K75*T76)),IF(Q76="Impacto",AA75,""))),"")</f>
        <v>0.14399999999999999</v>
      </c>
      <c r="Z76" s="28" t="str">
        <f t="shared" si="60"/>
        <v>Muy Baja</v>
      </c>
      <c r="AA76" s="26">
        <f t="shared" ref="AA76:AA82" si="71">+Y76</f>
        <v>0.14399999999999999</v>
      </c>
      <c r="AB76" s="28" t="str">
        <f t="shared" ref="AB76:AB82" si="72">IFERROR(IF(AC76="","",IF(AC76&lt;=0.2,"Leve",IF(AC76&lt;=0.4,"Menor",IF(AC76&lt;=0.6,"Moderado",IF(AC76&lt;=0.8,"Mayor","Catastrófico"))))),"")</f>
        <v>Catastrófico</v>
      </c>
      <c r="AC76" s="26">
        <f>IFERROR(IF(AND(Q75="Impacto",Q76="Impacto"),(AC75-(+AC75*T76)),IF(Q76="Impacto",(#REF!-(+#REF!*T76)),IF(Q76="Probabilidad",AC75,""))),"")</f>
        <v>1</v>
      </c>
      <c r="AD76" s="272"/>
      <c r="AE76" s="277"/>
      <c r="AF76" s="272"/>
      <c r="AG76" s="277"/>
      <c r="AH76" s="266"/>
      <c r="AI76" s="303"/>
      <c r="AJ76" s="104" t="s">
        <v>450</v>
      </c>
      <c r="AK76" s="284"/>
      <c r="AL76" s="288"/>
      <c r="AM76" s="284"/>
      <c r="AN76" s="288"/>
      <c r="AO76" s="284"/>
      <c r="AP76" s="288"/>
      <c r="AQ76" s="284"/>
      <c r="AR76" s="288"/>
      <c r="AS76" s="61"/>
      <c r="AT76" s="61"/>
      <c r="AU76" s="61"/>
      <c r="AV76" s="61"/>
    </row>
    <row r="77" spans="1:58" ht="148.94999999999999" hidden="1" customHeight="1" x14ac:dyDescent="0.25">
      <c r="A77" s="303"/>
      <c r="B77" s="304"/>
      <c r="C77" s="319"/>
      <c r="D77" s="319"/>
      <c r="E77" s="304"/>
      <c r="F77" s="304"/>
      <c r="G77" s="304"/>
      <c r="H77" s="273"/>
      <c r="I77" s="314"/>
      <c r="J77" s="272"/>
      <c r="K77" s="275"/>
      <c r="L77" s="272"/>
      <c r="M77" s="275"/>
      <c r="N77" s="266"/>
      <c r="O77" s="25">
        <v>3</v>
      </c>
      <c r="P77" s="75" t="s">
        <v>451</v>
      </c>
      <c r="Q77" s="25" t="str">
        <f t="shared" si="58"/>
        <v>Impacto</v>
      </c>
      <c r="R77" s="76" t="s">
        <v>207</v>
      </c>
      <c r="S77" s="76" t="s">
        <v>146</v>
      </c>
      <c r="T77" s="26" t="str">
        <f t="shared" si="59"/>
        <v>25%</v>
      </c>
      <c r="U77" s="76" t="s">
        <v>147</v>
      </c>
      <c r="V77" s="76" t="s">
        <v>148</v>
      </c>
      <c r="W77" s="76" t="s">
        <v>149</v>
      </c>
      <c r="X77" s="83" t="s">
        <v>410</v>
      </c>
      <c r="Y77" s="78">
        <f>IFERROR(IF(AND(Q76="Probabilidad",Q77="Probabilidad"),(AA76-(+AA76*T77)),IF(AND(Q76="Impacto",Q77="Probabilidad"),(AA75-(+AA75*T77)),IF(Q77="Impacto",AA76,""))),"")</f>
        <v>0.14399999999999999</v>
      </c>
      <c r="Z77" s="28" t="str">
        <f t="shared" si="60"/>
        <v>Muy Baja</v>
      </c>
      <c r="AA77" s="26">
        <f t="shared" si="71"/>
        <v>0.14399999999999999</v>
      </c>
      <c r="AB77" s="28" t="str">
        <f t="shared" si="72"/>
        <v>Mayor</v>
      </c>
      <c r="AC77" s="26">
        <f>IFERROR(IF(AND(Q76="Impacto",Q77="Impacto"),(AC76-(+AC76*T77)),IF(AND(Q76="Probabilidad",Q77="Impacto"),(AC75-(+AC75*T77)),IF(Q77="Probabilidad",AC76,""))),"")</f>
        <v>0.75</v>
      </c>
      <c r="AD77" s="272"/>
      <c r="AE77" s="277"/>
      <c r="AF77" s="272"/>
      <c r="AG77" s="277"/>
      <c r="AH77" s="266"/>
      <c r="AI77" s="303"/>
      <c r="AJ77" s="104"/>
      <c r="AK77" s="284"/>
      <c r="AL77" s="288"/>
      <c r="AM77" s="284"/>
      <c r="AN77" s="288"/>
      <c r="AO77" s="284"/>
      <c r="AP77" s="288"/>
      <c r="AQ77" s="284"/>
      <c r="AR77" s="288"/>
      <c r="AS77" s="61"/>
      <c r="AT77" s="61"/>
      <c r="AU77" s="61"/>
      <c r="AV77" s="61"/>
    </row>
    <row r="78" spans="1:58" ht="93" hidden="1" customHeight="1" x14ac:dyDescent="0.25">
      <c r="A78" s="303"/>
      <c r="B78" s="304"/>
      <c r="C78" s="319"/>
      <c r="D78" s="319"/>
      <c r="E78" s="304"/>
      <c r="F78" s="304"/>
      <c r="G78" s="304"/>
      <c r="H78" s="75" t="s">
        <v>452</v>
      </c>
      <c r="I78" s="314"/>
      <c r="J78" s="272"/>
      <c r="K78" s="275"/>
      <c r="L78" s="272"/>
      <c r="M78" s="275"/>
      <c r="N78" s="266"/>
      <c r="O78" s="25">
        <v>4</v>
      </c>
      <c r="P78" s="75" t="s">
        <v>438</v>
      </c>
      <c r="Q78" s="25" t="str">
        <f t="shared" si="58"/>
        <v>Impacto</v>
      </c>
      <c r="R78" s="76" t="s">
        <v>207</v>
      </c>
      <c r="S78" s="76" t="s">
        <v>146</v>
      </c>
      <c r="T78" s="26" t="str">
        <f t="shared" si="59"/>
        <v>25%</v>
      </c>
      <c r="U78" s="76" t="s">
        <v>147</v>
      </c>
      <c r="V78" s="76" t="s">
        <v>148</v>
      </c>
      <c r="W78" s="76" t="s">
        <v>149</v>
      </c>
      <c r="X78" s="83" t="s">
        <v>435</v>
      </c>
      <c r="Y78" s="78">
        <f>IFERROR(IF(AND(Q77="Probabilidad",Q78="Probabilidad"),(AA77-(+AA77*T78)),IF(AND(Q77="Impacto",Q78="Probabilidad"),(AA76-(+AA76*T78)),IF(Q78="Impacto",AA77,""))),"")</f>
        <v>0.14399999999999999</v>
      </c>
      <c r="Z78" s="28" t="str">
        <f t="shared" si="60"/>
        <v>Muy Baja</v>
      </c>
      <c r="AA78" s="26">
        <f t="shared" si="71"/>
        <v>0.14399999999999999</v>
      </c>
      <c r="AB78" s="28" t="str">
        <f t="shared" si="72"/>
        <v>Moderado</v>
      </c>
      <c r="AC78" s="26">
        <f>IFERROR(IF(AND(Q77="Impacto",Q78="Impacto"),(AC77-(+AC77*T78)),IF(AND(Q77="Probabilidad",Q78="Impacto"),(AC76-(+AC76*T78)),IF(Q78="Probabilidad",AC77,""))),"")</f>
        <v>0.5625</v>
      </c>
      <c r="AD78" s="272"/>
      <c r="AE78" s="277"/>
      <c r="AF78" s="272"/>
      <c r="AG78" s="277"/>
      <c r="AH78" s="266"/>
      <c r="AI78" s="303"/>
      <c r="AJ78" s="104" t="s">
        <v>453</v>
      </c>
      <c r="AK78" s="284"/>
      <c r="AL78" s="288"/>
      <c r="AM78" s="284"/>
      <c r="AN78" s="288"/>
      <c r="AO78" s="284"/>
      <c r="AP78" s="288"/>
      <c r="AQ78" s="284"/>
      <c r="AR78" s="288"/>
      <c r="AS78" s="61"/>
      <c r="AT78" s="61"/>
      <c r="AU78" s="61"/>
      <c r="AV78" s="61"/>
    </row>
    <row r="79" spans="1:58" ht="126.45" hidden="1" customHeight="1" x14ac:dyDescent="0.25">
      <c r="A79" s="303"/>
      <c r="B79" s="304"/>
      <c r="C79" s="319"/>
      <c r="D79" s="319"/>
      <c r="E79" s="304"/>
      <c r="F79" s="304"/>
      <c r="G79" s="304"/>
      <c r="H79" s="75" t="s">
        <v>454</v>
      </c>
      <c r="I79" s="314"/>
      <c r="J79" s="272"/>
      <c r="K79" s="275"/>
      <c r="L79" s="272"/>
      <c r="M79" s="275"/>
      <c r="N79" s="266"/>
      <c r="O79" s="25">
        <v>5</v>
      </c>
      <c r="P79" s="75" t="s">
        <v>455</v>
      </c>
      <c r="Q79" s="25" t="str">
        <f t="shared" si="58"/>
        <v>Probabilidad</v>
      </c>
      <c r="R79" s="76" t="s">
        <v>145</v>
      </c>
      <c r="S79" s="76" t="s">
        <v>146</v>
      </c>
      <c r="T79" s="26" t="str">
        <f t="shared" si="59"/>
        <v>40%</v>
      </c>
      <c r="U79" s="76" t="s">
        <v>147</v>
      </c>
      <c r="V79" s="76" t="s">
        <v>148</v>
      </c>
      <c r="W79" s="76" t="s">
        <v>149</v>
      </c>
      <c r="X79" s="83" t="s">
        <v>456</v>
      </c>
      <c r="Y79" s="78">
        <f>IFERROR(IF(AND(Q78="Probabilidad",Q79="Probabilidad"),(AA78-(+AA78*T79)),IF(AND(Q78="Impacto",Q79="Probabilidad"),(AA77-(+AA77*T79)),IF(Q79="Impacto",AA78,""))),"")</f>
        <v>8.6399999999999991E-2</v>
      </c>
      <c r="Z79" s="28" t="str">
        <f t="shared" si="60"/>
        <v>Muy Baja</v>
      </c>
      <c r="AA79" s="26">
        <f t="shared" si="71"/>
        <v>8.6399999999999991E-2</v>
      </c>
      <c r="AB79" s="28" t="str">
        <f t="shared" si="72"/>
        <v>Moderado</v>
      </c>
      <c r="AC79" s="26">
        <f>IFERROR(IF(AND(Q78="Impacto",Q79="Impacto"),(AC78-(+AC78*T79)),IF(AND(Q78="Probabilidad",Q79="Impacto"),(AC77-(+AC77*T79)),IF(Q79="Probabilidad",AC78,""))),"")</f>
        <v>0.5625</v>
      </c>
      <c r="AD79" s="272"/>
      <c r="AE79" s="277"/>
      <c r="AF79" s="272"/>
      <c r="AG79" s="277"/>
      <c r="AH79" s="266"/>
      <c r="AI79" s="303"/>
      <c r="AJ79" s="104" t="s">
        <v>457</v>
      </c>
      <c r="AK79" s="284"/>
      <c r="AL79" s="288"/>
      <c r="AM79" s="284"/>
      <c r="AN79" s="288"/>
      <c r="AO79" s="284"/>
      <c r="AP79" s="288"/>
      <c r="AQ79" s="284"/>
      <c r="AR79" s="288"/>
      <c r="AS79" s="61"/>
      <c r="AT79" s="61"/>
      <c r="AU79" s="61"/>
      <c r="AV79" s="61"/>
    </row>
    <row r="80" spans="1:58" ht="93" hidden="1" customHeight="1" x14ac:dyDescent="0.25">
      <c r="A80" s="303"/>
      <c r="B80" s="304"/>
      <c r="C80" s="319"/>
      <c r="D80" s="319"/>
      <c r="E80" s="304"/>
      <c r="F80" s="304"/>
      <c r="G80" s="304"/>
      <c r="H80" s="75" t="s">
        <v>458</v>
      </c>
      <c r="I80" s="314"/>
      <c r="J80" s="272"/>
      <c r="K80" s="275"/>
      <c r="L80" s="272"/>
      <c r="M80" s="275"/>
      <c r="N80" s="266"/>
      <c r="O80" s="25">
        <v>6</v>
      </c>
      <c r="P80" s="75" t="s">
        <v>459</v>
      </c>
      <c r="Q80" s="25" t="str">
        <f t="shared" si="58"/>
        <v>Probabilidad</v>
      </c>
      <c r="R80" s="76" t="s">
        <v>145</v>
      </c>
      <c r="S80" s="76" t="s">
        <v>146</v>
      </c>
      <c r="T80" s="26" t="str">
        <f t="shared" si="59"/>
        <v>40%</v>
      </c>
      <c r="U80" s="76" t="s">
        <v>147</v>
      </c>
      <c r="V80" s="76" t="s">
        <v>148</v>
      </c>
      <c r="W80" s="76" t="s">
        <v>149</v>
      </c>
      <c r="X80" s="83" t="s">
        <v>460</v>
      </c>
      <c r="Y80" s="78">
        <f>IFERROR(IF(AND(Q79="Probabilidad",Q80="Probabilidad"),(AA79-(+AA79*T80)),IF(AND(Q79="Impacto",Q80="Probabilidad"),(AA78-(+AA78*T80)),IF(Q80="Impacto",AA79,""))),"")</f>
        <v>5.183999999999999E-2</v>
      </c>
      <c r="Z80" s="28" t="str">
        <f t="shared" si="60"/>
        <v>Muy Baja</v>
      </c>
      <c r="AA80" s="26">
        <f t="shared" si="71"/>
        <v>5.183999999999999E-2</v>
      </c>
      <c r="AB80" s="28" t="str">
        <f t="shared" si="72"/>
        <v>Moderado</v>
      </c>
      <c r="AC80" s="26">
        <f>IFERROR(IF(AND(Q79="Impacto",Q80="Impacto"),(AC79-(+AC79*T80)),IF(AND(Q79="Probabilidad",Q80="Impacto"),(AC78-(+AC78*T80)),IF(Q80="Probabilidad",AC79,""))),"")</f>
        <v>0.5625</v>
      </c>
      <c r="AD80" s="272"/>
      <c r="AE80" s="277"/>
      <c r="AF80" s="272"/>
      <c r="AG80" s="277"/>
      <c r="AH80" s="266"/>
      <c r="AI80" s="303"/>
      <c r="AJ80" s="104" t="s">
        <v>461</v>
      </c>
      <c r="AK80" s="284"/>
      <c r="AL80" s="288"/>
      <c r="AM80" s="284"/>
      <c r="AN80" s="288"/>
      <c r="AO80" s="284"/>
      <c r="AP80" s="288"/>
      <c r="AQ80" s="284"/>
      <c r="AR80" s="288"/>
      <c r="AS80" s="61"/>
      <c r="AT80" s="61"/>
      <c r="AU80" s="61"/>
      <c r="AV80" s="61"/>
    </row>
    <row r="81" spans="1:48" ht="93" hidden="1" customHeight="1" x14ac:dyDescent="0.25">
      <c r="A81" s="303"/>
      <c r="B81" s="304"/>
      <c r="C81" s="319"/>
      <c r="D81" s="319"/>
      <c r="E81" s="304"/>
      <c r="F81" s="304"/>
      <c r="G81" s="304"/>
      <c r="H81" s="75" t="s">
        <v>462</v>
      </c>
      <c r="I81" s="314"/>
      <c r="J81" s="272"/>
      <c r="K81" s="275"/>
      <c r="L81" s="272"/>
      <c r="M81" s="275"/>
      <c r="N81" s="266"/>
      <c r="O81" s="25">
        <v>7</v>
      </c>
      <c r="P81" s="75" t="s">
        <v>463</v>
      </c>
      <c r="Q81" s="25" t="str">
        <f t="shared" si="58"/>
        <v>Probabilidad</v>
      </c>
      <c r="R81" s="76" t="s">
        <v>145</v>
      </c>
      <c r="S81" s="76" t="s">
        <v>146</v>
      </c>
      <c r="T81" s="26" t="str">
        <f t="shared" si="59"/>
        <v>40%</v>
      </c>
      <c r="U81" s="76" t="s">
        <v>147</v>
      </c>
      <c r="V81" s="76" t="s">
        <v>148</v>
      </c>
      <c r="W81" s="76" t="s">
        <v>149</v>
      </c>
      <c r="X81" s="83" t="s">
        <v>464</v>
      </c>
      <c r="Y81" s="78">
        <f t="shared" ref="Y81:Y82" si="73">IFERROR(IF(AND(Q80="Probabilidad",Q81="Probabilidad"),(AA80-(+AA80*T81)),IF(AND(Q80="Impacto",Q81="Probabilidad"),(AA79-(+AA79*T81)),IF(Q81="Impacto",AA80,""))),"")</f>
        <v>3.1103999999999993E-2</v>
      </c>
      <c r="Z81" s="28" t="str">
        <f t="shared" si="60"/>
        <v>Muy Baja</v>
      </c>
      <c r="AA81" s="26">
        <f t="shared" si="71"/>
        <v>3.1103999999999993E-2</v>
      </c>
      <c r="AB81" s="28" t="str">
        <f t="shared" si="72"/>
        <v>Moderado</v>
      </c>
      <c r="AC81" s="26">
        <f t="shared" ref="AC81:AC82" si="74">IFERROR(IF(AND(Q80="Impacto",Q81="Impacto"),(AC80-(+AC80*T81)),IF(AND(Q80="Probabilidad",Q81="Impacto"),(AC79-(+AC79*T81)),IF(Q81="Probabilidad",AC80,""))),"")</f>
        <v>0.5625</v>
      </c>
      <c r="AD81" s="272"/>
      <c r="AE81" s="277"/>
      <c r="AF81" s="272"/>
      <c r="AG81" s="277"/>
      <c r="AH81" s="266"/>
      <c r="AI81" s="303"/>
      <c r="AJ81" s="104" t="s">
        <v>465</v>
      </c>
      <c r="AK81" s="284"/>
      <c r="AL81" s="288"/>
      <c r="AM81" s="284"/>
      <c r="AN81" s="288"/>
      <c r="AO81" s="284"/>
      <c r="AP81" s="288"/>
      <c r="AQ81" s="284"/>
      <c r="AR81" s="288"/>
      <c r="AS81" s="61"/>
      <c r="AT81" s="61"/>
      <c r="AU81" s="61"/>
      <c r="AV81" s="61"/>
    </row>
    <row r="82" spans="1:48" ht="113.25" hidden="1" customHeight="1" x14ac:dyDescent="0.25">
      <c r="A82" s="303"/>
      <c r="B82" s="304"/>
      <c r="C82" s="319"/>
      <c r="D82" s="319"/>
      <c r="E82" s="304"/>
      <c r="F82" s="304"/>
      <c r="G82" s="304"/>
      <c r="H82" s="75" t="s">
        <v>466</v>
      </c>
      <c r="I82" s="314"/>
      <c r="J82" s="272"/>
      <c r="K82" s="279"/>
      <c r="L82" s="272"/>
      <c r="M82" s="279"/>
      <c r="N82" s="266"/>
      <c r="O82" s="25">
        <v>8</v>
      </c>
      <c r="P82" s="75" t="s">
        <v>467</v>
      </c>
      <c r="Q82" s="25" t="str">
        <f t="shared" si="58"/>
        <v>Impacto</v>
      </c>
      <c r="R82" s="76" t="s">
        <v>207</v>
      </c>
      <c r="S82" s="76" t="s">
        <v>146</v>
      </c>
      <c r="T82" s="26" t="str">
        <f t="shared" si="59"/>
        <v>25%</v>
      </c>
      <c r="U82" s="76" t="s">
        <v>147</v>
      </c>
      <c r="V82" s="76" t="s">
        <v>148</v>
      </c>
      <c r="W82" s="76" t="s">
        <v>149</v>
      </c>
      <c r="X82" s="83" t="s">
        <v>468</v>
      </c>
      <c r="Y82" s="78">
        <f t="shared" si="73"/>
        <v>3.1103999999999993E-2</v>
      </c>
      <c r="Z82" s="28" t="str">
        <f t="shared" si="60"/>
        <v>Muy Baja</v>
      </c>
      <c r="AA82" s="26">
        <f t="shared" si="71"/>
        <v>3.1103999999999993E-2</v>
      </c>
      <c r="AB82" s="28" t="str">
        <f t="shared" si="72"/>
        <v>Moderado</v>
      </c>
      <c r="AC82" s="26">
        <f t="shared" si="74"/>
        <v>0.421875</v>
      </c>
      <c r="AD82" s="278"/>
      <c r="AE82" s="281"/>
      <c r="AF82" s="278"/>
      <c r="AG82" s="281"/>
      <c r="AH82" s="280"/>
      <c r="AI82" s="303"/>
      <c r="AJ82" s="75" t="s">
        <v>469</v>
      </c>
      <c r="AK82" s="284"/>
      <c r="AL82" s="288"/>
      <c r="AM82" s="284"/>
      <c r="AN82" s="288"/>
      <c r="AO82" s="284"/>
      <c r="AP82" s="288"/>
      <c r="AQ82" s="284"/>
      <c r="AR82" s="288"/>
      <c r="AS82" s="61"/>
      <c r="AT82" s="61"/>
      <c r="AU82" s="61"/>
      <c r="AV82" s="61"/>
    </row>
    <row r="83" spans="1:48" ht="49.95" customHeight="1" x14ac:dyDescent="0.25">
      <c r="A83" s="381" t="s">
        <v>470</v>
      </c>
      <c r="B83" s="382"/>
      <c r="C83" s="382"/>
      <c r="D83" s="382"/>
      <c r="E83" s="382"/>
      <c r="F83" s="382"/>
      <c r="G83" s="382"/>
      <c r="H83" s="382"/>
      <c r="I83" s="382"/>
      <c r="J83" s="382"/>
      <c r="K83" s="382"/>
      <c r="L83" s="382"/>
      <c r="M83" s="382"/>
      <c r="N83" s="382"/>
      <c r="O83" s="382"/>
      <c r="P83" s="382"/>
      <c r="Q83" s="382"/>
      <c r="R83" s="382"/>
      <c r="S83" s="382"/>
      <c r="T83" s="382"/>
      <c r="U83" s="382"/>
      <c r="V83" s="382"/>
      <c r="W83" s="382"/>
      <c r="X83" s="382"/>
      <c r="Y83" s="382"/>
      <c r="Z83" s="382"/>
      <c r="AA83" s="382"/>
      <c r="AB83" s="382"/>
      <c r="AC83" s="382"/>
      <c r="AD83" s="382"/>
      <c r="AE83" s="382"/>
      <c r="AF83" s="382"/>
      <c r="AG83" s="382"/>
      <c r="AH83" s="382"/>
      <c r="AI83" s="383"/>
    </row>
    <row r="85" spans="1:48" x14ac:dyDescent="0.25">
      <c r="A85" s="88" t="s">
        <v>471</v>
      </c>
      <c r="B85" s="62"/>
      <c r="C85" s="62"/>
      <c r="D85" s="62"/>
      <c r="E85" s="62"/>
      <c r="F85" s="62"/>
      <c r="I85" s="62"/>
    </row>
    <row r="87" spans="1:48" x14ac:dyDescent="0.25">
      <c r="B87" s="66" t="s">
        <v>472</v>
      </c>
      <c r="C87" s="66"/>
      <c r="E87" s="62"/>
      <c r="F87" s="62"/>
    </row>
    <row r="89" spans="1:48" x14ac:dyDescent="0.25">
      <c r="B89" s="93" t="s">
        <v>473</v>
      </c>
      <c r="C89" s="94" t="s">
        <v>474</v>
      </c>
      <c r="D89" s="322" t="s">
        <v>475</v>
      </c>
      <c r="E89" s="322"/>
      <c r="F89" s="322"/>
      <c r="G89" s="322"/>
    </row>
    <row r="90" spans="1:48" ht="123" customHeight="1" x14ac:dyDescent="0.25">
      <c r="B90" s="83" t="s">
        <v>476</v>
      </c>
      <c r="C90" s="83" t="s">
        <v>477</v>
      </c>
      <c r="D90" s="317" t="s">
        <v>478</v>
      </c>
      <c r="E90" s="318"/>
      <c r="F90" s="318"/>
      <c r="G90" s="318"/>
    </row>
    <row r="91" spans="1:48" ht="94.95" customHeight="1" x14ac:dyDescent="0.25">
      <c r="B91" s="83" t="s">
        <v>479</v>
      </c>
      <c r="C91" s="83" t="s">
        <v>477</v>
      </c>
      <c r="D91" s="317" t="s">
        <v>480</v>
      </c>
      <c r="E91" s="318"/>
      <c r="F91" s="318"/>
      <c r="G91" s="318"/>
    </row>
    <row r="92" spans="1:48" ht="61.5" customHeight="1" x14ac:dyDescent="0.25">
      <c r="B92" s="83" t="s">
        <v>481</v>
      </c>
      <c r="C92" s="95">
        <v>44826</v>
      </c>
      <c r="D92" s="317" t="s">
        <v>482</v>
      </c>
      <c r="E92" s="318"/>
      <c r="F92" s="318"/>
      <c r="G92" s="318"/>
    </row>
    <row r="93" spans="1:48" ht="120.75" customHeight="1" x14ac:dyDescent="0.25">
      <c r="B93" s="83" t="s">
        <v>483</v>
      </c>
      <c r="C93" s="95">
        <v>44826</v>
      </c>
      <c r="D93" s="317" t="s">
        <v>484</v>
      </c>
      <c r="E93" s="318"/>
      <c r="F93" s="318"/>
      <c r="G93" s="318"/>
    </row>
    <row r="94" spans="1:48" ht="60" customHeight="1" x14ac:dyDescent="0.25">
      <c r="B94" s="83" t="s">
        <v>476</v>
      </c>
      <c r="C94" s="95">
        <v>44886</v>
      </c>
      <c r="D94" s="317" t="s">
        <v>485</v>
      </c>
      <c r="E94" s="318"/>
      <c r="F94" s="318"/>
      <c r="G94" s="318"/>
    </row>
    <row r="95" spans="1:48" ht="69.75" customHeight="1" x14ac:dyDescent="0.25">
      <c r="B95" s="83" t="s">
        <v>476</v>
      </c>
      <c r="C95" s="95">
        <v>44886</v>
      </c>
      <c r="D95" s="317" t="s">
        <v>486</v>
      </c>
      <c r="E95" s="318"/>
      <c r="F95" s="318"/>
      <c r="G95" s="318"/>
    </row>
    <row r="96" spans="1:48" ht="45" customHeight="1" x14ac:dyDescent="0.25">
      <c r="B96" s="83" t="s">
        <v>476</v>
      </c>
      <c r="C96" s="95">
        <v>44886</v>
      </c>
      <c r="D96" s="317" t="s">
        <v>487</v>
      </c>
      <c r="E96" s="318"/>
      <c r="F96" s="318"/>
      <c r="G96" s="318"/>
    </row>
    <row r="97" spans="2:7" ht="31.95" customHeight="1" x14ac:dyDescent="0.25">
      <c r="B97" s="83" t="s">
        <v>212</v>
      </c>
      <c r="C97" s="95">
        <v>45090</v>
      </c>
      <c r="D97" s="282" t="s">
        <v>488</v>
      </c>
      <c r="E97" s="283"/>
      <c r="F97" s="283"/>
      <c r="G97" s="283"/>
    </row>
    <row r="98" spans="2:7" ht="81" customHeight="1" x14ac:dyDescent="0.25">
      <c r="B98" s="83" t="s">
        <v>489</v>
      </c>
      <c r="C98" s="95">
        <v>45120</v>
      </c>
      <c r="D98" s="282" t="s">
        <v>490</v>
      </c>
      <c r="E98" s="283"/>
      <c r="F98" s="283"/>
      <c r="G98" s="283"/>
    </row>
    <row r="99" spans="2:7" ht="27.6" x14ac:dyDescent="0.25">
      <c r="B99" s="83" t="s">
        <v>491</v>
      </c>
      <c r="C99" s="95">
        <v>45124</v>
      </c>
      <c r="D99" s="282" t="s">
        <v>492</v>
      </c>
      <c r="E99" s="283"/>
      <c r="F99" s="283"/>
      <c r="G99" s="283"/>
    </row>
    <row r="100" spans="2:7" ht="49.95" customHeight="1" x14ac:dyDescent="0.25">
      <c r="B100" s="83" t="s">
        <v>279</v>
      </c>
      <c r="C100" s="95">
        <v>45194</v>
      </c>
      <c r="D100" s="282" t="s">
        <v>493</v>
      </c>
      <c r="E100" s="283"/>
      <c r="F100" s="283"/>
      <c r="G100" s="283"/>
    </row>
    <row r="101" spans="2:7" ht="139.94999999999999" customHeight="1" x14ac:dyDescent="0.25">
      <c r="B101" s="83" t="s">
        <v>476</v>
      </c>
      <c r="C101" s="95">
        <v>45260</v>
      </c>
      <c r="D101" s="282" t="s">
        <v>494</v>
      </c>
      <c r="E101" s="283"/>
      <c r="F101" s="283"/>
      <c r="G101" s="283"/>
    </row>
    <row r="102" spans="2:7" ht="102" customHeight="1" x14ac:dyDescent="0.25">
      <c r="B102" s="83" t="s">
        <v>476</v>
      </c>
      <c r="C102" s="95">
        <v>45832</v>
      </c>
      <c r="D102" s="282" t="s">
        <v>495</v>
      </c>
      <c r="E102" s="283"/>
      <c r="F102" s="283"/>
      <c r="G102" s="283"/>
    </row>
    <row r="103" spans="2:7" ht="58.2" customHeight="1" x14ac:dyDescent="0.25">
      <c r="B103" s="83" t="s">
        <v>479</v>
      </c>
      <c r="C103" s="95">
        <v>45832</v>
      </c>
      <c r="D103" s="282" t="s">
        <v>496</v>
      </c>
      <c r="E103" s="283"/>
      <c r="F103" s="283"/>
      <c r="G103" s="283"/>
    </row>
    <row r="104" spans="2:7" ht="147" customHeight="1" x14ac:dyDescent="0.25">
      <c r="B104" s="83" t="s">
        <v>185</v>
      </c>
      <c r="C104" s="95">
        <v>45832</v>
      </c>
      <c r="D104" s="282" t="s">
        <v>497</v>
      </c>
      <c r="E104" s="283"/>
      <c r="F104" s="283"/>
      <c r="G104" s="283"/>
    </row>
    <row r="105" spans="2:7" ht="76.95" customHeight="1" x14ac:dyDescent="0.25">
      <c r="B105" s="83" t="s">
        <v>231</v>
      </c>
      <c r="C105" s="95">
        <v>45832</v>
      </c>
      <c r="D105" s="282" t="s">
        <v>498</v>
      </c>
      <c r="E105" s="283"/>
      <c r="F105" s="283"/>
      <c r="G105" s="283"/>
    </row>
    <row r="106" spans="2:7" ht="99.45" customHeight="1" x14ac:dyDescent="0.25">
      <c r="B106" s="83" t="s">
        <v>483</v>
      </c>
      <c r="C106" s="95">
        <v>45791</v>
      </c>
      <c r="D106" s="282" t="s">
        <v>499</v>
      </c>
      <c r="E106" s="283"/>
      <c r="F106" s="283"/>
      <c r="G106" s="283"/>
    </row>
    <row r="107" spans="2:7" ht="57" customHeight="1" x14ac:dyDescent="0.25">
      <c r="B107" s="83" t="s">
        <v>259</v>
      </c>
      <c r="C107" s="95">
        <v>45791</v>
      </c>
      <c r="D107" s="282" t="s">
        <v>500</v>
      </c>
      <c r="E107" s="283"/>
      <c r="F107" s="283"/>
      <c r="G107" s="283"/>
    </row>
    <row r="108" spans="2:7" ht="43.2" customHeight="1" x14ac:dyDescent="0.25">
      <c r="B108" s="83" t="s">
        <v>279</v>
      </c>
      <c r="C108" s="95">
        <v>45791</v>
      </c>
      <c r="D108" s="282" t="s">
        <v>501</v>
      </c>
      <c r="E108" s="283"/>
      <c r="F108" s="283"/>
      <c r="G108" s="283"/>
    </row>
    <row r="109" spans="2:7" ht="43.2" customHeight="1" x14ac:dyDescent="0.25">
      <c r="B109" s="83" t="s">
        <v>327</v>
      </c>
      <c r="C109" s="95">
        <v>45791</v>
      </c>
      <c r="D109" s="282" t="s">
        <v>502</v>
      </c>
      <c r="E109" s="283"/>
      <c r="F109" s="283"/>
      <c r="G109" s="283"/>
    </row>
    <row r="110" spans="2:7" ht="43.2" customHeight="1" x14ac:dyDescent="0.25">
      <c r="B110" s="83" t="s">
        <v>476</v>
      </c>
      <c r="C110" s="95">
        <v>45835</v>
      </c>
      <c r="D110" s="282" t="s">
        <v>503</v>
      </c>
      <c r="E110" s="283"/>
      <c r="F110" s="283"/>
      <c r="G110" s="283"/>
    </row>
    <row r="111" spans="2:7" ht="43.2" customHeight="1" x14ac:dyDescent="0.25">
      <c r="B111" s="83" t="s">
        <v>340</v>
      </c>
      <c r="C111" s="95">
        <v>45835</v>
      </c>
      <c r="D111" s="282" t="s">
        <v>504</v>
      </c>
      <c r="E111" s="283"/>
      <c r="F111" s="283"/>
      <c r="G111" s="283"/>
    </row>
    <row r="112" spans="2:7" ht="43.2" customHeight="1" x14ac:dyDescent="0.25">
      <c r="B112" s="83" t="s">
        <v>372</v>
      </c>
      <c r="C112" s="95">
        <v>45835</v>
      </c>
      <c r="D112" s="282" t="s">
        <v>505</v>
      </c>
      <c r="E112" s="283"/>
      <c r="F112" s="283"/>
      <c r="G112" s="283"/>
    </row>
    <row r="113" spans="2:7" ht="87" customHeight="1" x14ac:dyDescent="0.25">
      <c r="B113" s="83" t="s">
        <v>133</v>
      </c>
      <c r="C113" s="95">
        <v>45973</v>
      </c>
      <c r="D113" s="282" t="s">
        <v>506</v>
      </c>
      <c r="E113" s="283"/>
      <c r="F113" s="283"/>
      <c r="G113" s="283"/>
    </row>
    <row r="114" spans="2:7" ht="42" customHeight="1" x14ac:dyDescent="0.25">
      <c r="B114" s="83" t="s">
        <v>212</v>
      </c>
      <c r="C114" s="95">
        <v>46136</v>
      </c>
      <c r="D114" s="282" t="s">
        <v>600</v>
      </c>
      <c r="E114" s="283"/>
      <c r="F114" s="283"/>
      <c r="G114" s="283"/>
    </row>
    <row r="115" spans="2:7" ht="50.55" customHeight="1" x14ac:dyDescent="0.25">
      <c r="B115" s="83" t="s">
        <v>645</v>
      </c>
      <c r="C115" s="95" t="s">
        <v>646</v>
      </c>
      <c r="D115" s="282" t="s">
        <v>647</v>
      </c>
      <c r="E115" s="283"/>
      <c r="F115" s="283"/>
      <c r="G115" s="283"/>
    </row>
  </sheetData>
  <sheetProtection algorithmName="SHA-512" hashValue="GEErR4w7TJgbuup7TRJTWO7UbBY4dGXpxcy7M2KG5ilgIfbOSV7LAzUdi0m26k5Gswav9B+WcrrCp9ZOXKGX1w==" saltValue="3SR6jNdaXw6aHCR+mB0X9g==" spinCount="100000" sheet="1" formatCells="0" formatColumns="0" formatRows="0" insertRows="0"/>
  <dataConsolidate/>
  <mergeCells count="491">
    <mergeCell ref="D115:G115"/>
    <mergeCell ref="D114:G114"/>
    <mergeCell ref="AQ68:AQ70"/>
    <mergeCell ref="AR68:AR70"/>
    <mergeCell ref="AQ71:AQ74"/>
    <mergeCell ref="AR71:AR74"/>
    <mergeCell ref="AQ75:AQ82"/>
    <mergeCell ref="AR75:AR82"/>
    <mergeCell ref="AQ45:AQ46"/>
    <mergeCell ref="AR45:AR46"/>
    <mergeCell ref="AQ53:AQ54"/>
    <mergeCell ref="AR53:AR54"/>
    <mergeCell ref="AQ55:AQ63"/>
    <mergeCell ref="AR55:AR63"/>
    <mergeCell ref="AQ64:AQ65"/>
    <mergeCell ref="AR64:AR65"/>
    <mergeCell ref="AQ66:AQ67"/>
    <mergeCell ref="AR66:AR67"/>
    <mergeCell ref="AO71:AO74"/>
    <mergeCell ref="AP71:AP74"/>
    <mergeCell ref="AO75:AO82"/>
    <mergeCell ref="AP75:AP82"/>
    <mergeCell ref="AO53:AO54"/>
    <mergeCell ref="AP53:AP54"/>
    <mergeCell ref="AQ11:AQ14"/>
    <mergeCell ref="AR11:AR14"/>
    <mergeCell ref="AQ15:AQ26"/>
    <mergeCell ref="AR15:AR26"/>
    <mergeCell ref="AQ27:AQ31"/>
    <mergeCell ref="AR27:AR31"/>
    <mergeCell ref="AQ35:AQ40"/>
    <mergeCell ref="AR35:AR40"/>
    <mergeCell ref="AQ41:AQ44"/>
    <mergeCell ref="AR41:AR44"/>
    <mergeCell ref="AQ32:AQ34"/>
    <mergeCell ref="AR32:AR34"/>
    <mergeCell ref="AO64:AO65"/>
    <mergeCell ref="AP64:AP65"/>
    <mergeCell ref="AO66:AO67"/>
    <mergeCell ref="AP66:AP67"/>
    <mergeCell ref="AO68:AO70"/>
    <mergeCell ref="AP68:AP70"/>
    <mergeCell ref="AP11:AP14"/>
    <mergeCell ref="AO27:AO31"/>
    <mergeCell ref="AP27:AP31"/>
    <mergeCell ref="AO35:AO40"/>
    <mergeCell ref="AP35:AP40"/>
    <mergeCell ref="AO41:AO44"/>
    <mergeCell ref="AP41:AP44"/>
    <mergeCell ref="AO45:AO46"/>
    <mergeCell ref="AP45:AP46"/>
    <mergeCell ref="AO15:AO26"/>
    <mergeCell ref="AP15:AP26"/>
    <mergeCell ref="AO32:AO34"/>
    <mergeCell ref="AP32:AP34"/>
    <mergeCell ref="AO55:AO63"/>
    <mergeCell ref="AP55:AP63"/>
    <mergeCell ref="AO11:AO14"/>
    <mergeCell ref="AL45:AL46"/>
    <mergeCell ref="AM45:AM46"/>
    <mergeCell ref="AK45:AK46"/>
    <mergeCell ref="AK11:AK14"/>
    <mergeCell ref="AL11:AL14"/>
    <mergeCell ref="AM11:AM14"/>
    <mergeCell ref="AN11:AN14"/>
    <mergeCell ref="AK35:AK40"/>
    <mergeCell ref="AL35:AL40"/>
    <mergeCell ref="AM35:AM40"/>
    <mergeCell ref="AN35:AN40"/>
    <mergeCell ref="AL27:AL31"/>
    <mergeCell ref="AM27:AM31"/>
    <mergeCell ref="AN27:AN31"/>
    <mergeCell ref="AK15:AK26"/>
    <mergeCell ref="AL15:AL26"/>
    <mergeCell ref="AK27:AK31"/>
    <mergeCell ref="AK32:AK34"/>
    <mergeCell ref="AL32:AL34"/>
    <mergeCell ref="AM32:AM34"/>
    <mergeCell ref="AN32:AN34"/>
    <mergeCell ref="J64:J65"/>
    <mergeCell ref="AM55:AM63"/>
    <mergeCell ref="AN55:AN63"/>
    <mergeCell ref="AM64:AM65"/>
    <mergeCell ref="AN64:AN65"/>
    <mergeCell ref="AK55:AK63"/>
    <mergeCell ref="AL55:AL63"/>
    <mergeCell ref="AK64:AK65"/>
    <mergeCell ref="AL64:AL65"/>
    <mergeCell ref="L64:L65"/>
    <mergeCell ref="M64:M65"/>
    <mergeCell ref="N64:N65"/>
    <mergeCell ref="AD64:AD65"/>
    <mergeCell ref="J55:J63"/>
    <mergeCell ref="K55:K63"/>
    <mergeCell ref="L55:L63"/>
    <mergeCell ref="M55:M63"/>
    <mergeCell ref="AJ64:AJ65"/>
    <mergeCell ref="K64:K65"/>
    <mergeCell ref="D55:D63"/>
    <mergeCell ref="E55:E63"/>
    <mergeCell ref="F55:F63"/>
    <mergeCell ref="G55:G63"/>
    <mergeCell ref="I55:I63"/>
    <mergeCell ref="A64:A65"/>
    <mergeCell ref="B64:B65"/>
    <mergeCell ref="C64:C65"/>
    <mergeCell ref="D64:D65"/>
    <mergeCell ref="E64:E65"/>
    <mergeCell ref="F64:F65"/>
    <mergeCell ref="G64:G65"/>
    <mergeCell ref="I64:I65"/>
    <mergeCell ref="D110:G110"/>
    <mergeCell ref="D90:G90"/>
    <mergeCell ref="B27:B31"/>
    <mergeCell ref="A35:A40"/>
    <mergeCell ref="B35:B40"/>
    <mergeCell ref="C35:C40"/>
    <mergeCell ref="D35:D40"/>
    <mergeCell ref="E35:E40"/>
    <mergeCell ref="F35:F40"/>
    <mergeCell ref="G35:G40"/>
    <mergeCell ref="D101:G101"/>
    <mergeCell ref="D100:G100"/>
    <mergeCell ref="D99:G99"/>
    <mergeCell ref="D95:G95"/>
    <mergeCell ref="A83:AI83"/>
    <mergeCell ref="D96:G96"/>
    <mergeCell ref="D91:G91"/>
    <mergeCell ref="K27:K31"/>
    <mergeCell ref="J27:J31"/>
    <mergeCell ref="I27:I31"/>
    <mergeCell ref="M27:M31"/>
    <mergeCell ref="A55:A63"/>
    <mergeCell ref="B55:B63"/>
    <mergeCell ref="C55:C63"/>
    <mergeCell ref="A1:C4"/>
    <mergeCell ref="D1:AF4"/>
    <mergeCell ref="J13:J14"/>
    <mergeCell ref="K13:K14"/>
    <mergeCell ref="L13:L14"/>
    <mergeCell ref="M13:M14"/>
    <mergeCell ref="E12:E14"/>
    <mergeCell ref="A12:A14"/>
    <mergeCell ref="C12:C14"/>
    <mergeCell ref="A6:C7"/>
    <mergeCell ref="B12:B14"/>
    <mergeCell ref="F12:F14"/>
    <mergeCell ref="D12:D14"/>
    <mergeCell ref="A9:C9"/>
    <mergeCell ref="H6:I6"/>
    <mergeCell ref="F6:G6"/>
    <mergeCell ref="F7:G7"/>
    <mergeCell ref="A8:C8"/>
    <mergeCell ref="H7:I7"/>
    <mergeCell ref="D8:I8"/>
    <mergeCell ref="D9:I9"/>
    <mergeCell ref="D6:E7"/>
    <mergeCell ref="A11:I11"/>
    <mergeCell ref="G12:G14"/>
    <mergeCell ref="AG1:AI1"/>
    <mergeCell ref="AG2:AI2"/>
    <mergeCell ref="AG3:AI3"/>
    <mergeCell ref="AG4:AI4"/>
    <mergeCell ref="J11:AH11"/>
    <mergeCell ref="R13:X13"/>
    <mergeCell ref="AI12:AI14"/>
    <mergeCell ref="AE13:AE14"/>
    <mergeCell ref="AF13:AF14"/>
    <mergeCell ref="AD12:AH12"/>
    <mergeCell ref="AG13:AG14"/>
    <mergeCell ref="J12:N12"/>
    <mergeCell ref="AI11:AJ11"/>
    <mergeCell ref="AJ13:AJ14"/>
    <mergeCell ref="AH13:AH14"/>
    <mergeCell ref="N13:N14"/>
    <mergeCell ref="O13:O14"/>
    <mergeCell ref="P13:P14"/>
    <mergeCell ref="Q13:Q14"/>
    <mergeCell ref="AB13:AB14"/>
    <mergeCell ref="AC13:AC14"/>
    <mergeCell ref="AA13:AA14"/>
    <mergeCell ref="Y13:Y14"/>
    <mergeCell ref="H12:H14"/>
    <mergeCell ref="I12:I14"/>
    <mergeCell ref="Z13:Z14"/>
    <mergeCell ref="AD13:AD14"/>
    <mergeCell ref="O12:X12"/>
    <mergeCell ref="L27:L31"/>
    <mergeCell ref="M15:M26"/>
    <mergeCell ref="N15:N26"/>
    <mergeCell ref="AD15:AD26"/>
    <mergeCell ref="A66:A67"/>
    <mergeCell ref="B66:B67"/>
    <mergeCell ref="C66:C67"/>
    <mergeCell ref="AH66:AH67"/>
    <mergeCell ref="D66:D67"/>
    <mergeCell ref="E66:E67"/>
    <mergeCell ref="F66:F67"/>
    <mergeCell ref="G66:G67"/>
    <mergeCell ref="I66:I67"/>
    <mergeCell ref="J66:J67"/>
    <mergeCell ref="K66:K67"/>
    <mergeCell ref="L66:L67"/>
    <mergeCell ref="M66:M67"/>
    <mergeCell ref="AJ15:AJ26"/>
    <mergeCell ref="AJ27:AJ31"/>
    <mergeCell ref="AE27:AE31"/>
    <mergeCell ref="L41:L44"/>
    <mergeCell ref="M41:M44"/>
    <mergeCell ref="L45:L46"/>
    <mergeCell ref="M45:M46"/>
    <mergeCell ref="J15:J26"/>
    <mergeCell ref="K15:K26"/>
    <mergeCell ref="L15:L26"/>
    <mergeCell ref="AH27:AH31"/>
    <mergeCell ref="AG27:AG31"/>
    <mergeCell ref="AF27:AF31"/>
    <mergeCell ref="AE15:AE26"/>
    <mergeCell ref="AJ45:AJ46"/>
    <mergeCell ref="AJ35:AJ40"/>
    <mergeCell ref="AJ41:AJ44"/>
    <mergeCell ref="AF15:AF26"/>
    <mergeCell ref="AG15:AG26"/>
    <mergeCell ref="AH15:AH26"/>
    <mergeCell ref="AI15:AI26"/>
    <mergeCell ref="AG35:AG40"/>
    <mergeCell ref="AH35:AH40"/>
    <mergeCell ref="AI35:AI40"/>
    <mergeCell ref="AI47:AI49"/>
    <mergeCell ref="AG71:AG74"/>
    <mergeCell ref="AH71:AH74"/>
    <mergeCell ref="E27:E31"/>
    <mergeCell ref="F27:F31"/>
    <mergeCell ref="AF55:AF63"/>
    <mergeCell ref="AG55:AG63"/>
    <mergeCell ref="AH55:AH63"/>
    <mergeCell ref="AI55:AI63"/>
    <mergeCell ref="AE64:AE65"/>
    <mergeCell ref="AF64:AF65"/>
    <mergeCell ref="AG64:AG65"/>
    <mergeCell ref="AH64:AH65"/>
    <mergeCell ref="AI64:AI65"/>
    <mergeCell ref="AI66:AI67"/>
    <mergeCell ref="K68:K70"/>
    <mergeCell ref="L68:L70"/>
    <mergeCell ref="AI27:AI31"/>
    <mergeCell ref="N27:N31"/>
    <mergeCell ref="AD27:AD31"/>
    <mergeCell ref="K41:K44"/>
    <mergeCell ref="K45:K46"/>
    <mergeCell ref="AI45:AI46"/>
    <mergeCell ref="AE55:AE63"/>
    <mergeCell ref="E75:E82"/>
    <mergeCell ref="D94:G94"/>
    <mergeCell ref="D93:G93"/>
    <mergeCell ref="M68:M70"/>
    <mergeCell ref="N68:N70"/>
    <mergeCell ref="AD68:AD70"/>
    <mergeCell ref="AE68:AE70"/>
    <mergeCell ref="AF68:AF70"/>
    <mergeCell ref="K75:K82"/>
    <mergeCell ref="L75:L82"/>
    <mergeCell ref="M75:M82"/>
    <mergeCell ref="N75:N82"/>
    <mergeCell ref="AD75:AD82"/>
    <mergeCell ref="AE75:AE82"/>
    <mergeCell ref="AF75:AF82"/>
    <mergeCell ref="K71:K74"/>
    <mergeCell ref="L71:L74"/>
    <mergeCell ref="M71:M74"/>
    <mergeCell ref="N71:N74"/>
    <mergeCell ref="AD71:AD74"/>
    <mergeCell ref="AE71:AE74"/>
    <mergeCell ref="AF71:AF74"/>
    <mergeCell ref="G75:G82"/>
    <mergeCell ref="D89:G89"/>
    <mergeCell ref="D92:G92"/>
    <mergeCell ref="AH68:AH70"/>
    <mergeCell ref="AG75:AG82"/>
    <mergeCell ref="AH75:AH82"/>
    <mergeCell ref="AI75:AI82"/>
    <mergeCell ref="AI71:AI74"/>
    <mergeCell ref="AG68:AG70"/>
    <mergeCell ref="A71:A74"/>
    <mergeCell ref="B71:B74"/>
    <mergeCell ref="C71:C74"/>
    <mergeCell ref="D71:D74"/>
    <mergeCell ref="E71:E74"/>
    <mergeCell ref="F71:F74"/>
    <mergeCell ref="G71:G74"/>
    <mergeCell ref="A68:A70"/>
    <mergeCell ref="B68:B70"/>
    <mergeCell ref="C68:C70"/>
    <mergeCell ref="D68:D70"/>
    <mergeCell ref="E68:E70"/>
    <mergeCell ref="F68:F70"/>
    <mergeCell ref="A75:A82"/>
    <mergeCell ref="B75:B82"/>
    <mergeCell ref="C75:C82"/>
    <mergeCell ref="D75:D82"/>
    <mergeCell ref="G45:G46"/>
    <mergeCell ref="AI68:AI70"/>
    <mergeCell ref="F75:F82"/>
    <mergeCell ref="I75:I82"/>
    <mergeCell ref="J75:J82"/>
    <mergeCell ref="D106:G106"/>
    <mergeCell ref="D107:G107"/>
    <mergeCell ref="F41:F44"/>
    <mergeCell ref="G41:G44"/>
    <mergeCell ref="I41:I44"/>
    <mergeCell ref="J41:J44"/>
    <mergeCell ref="D102:G102"/>
    <mergeCell ref="D103:G103"/>
    <mergeCell ref="D104:G104"/>
    <mergeCell ref="D105:G105"/>
    <mergeCell ref="H76:H77"/>
    <mergeCell ref="I71:I74"/>
    <mergeCell ref="J71:J74"/>
    <mergeCell ref="D97:G97"/>
    <mergeCell ref="H42:H43"/>
    <mergeCell ref="G68:G70"/>
    <mergeCell ref="I68:I70"/>
    <mergeCell ref="J68:J70"/>
    <mergeCell ref="D98:G98"/>
    <mergeCell ref="AF41:AF44"/>
    <mergeCell ref="AG41:AG44"/>
    <mergeCell ref="AH41:AH44"/>
    <mergeCell ref="N45:N46"/>
    <mergeCell ref="AD45:AD46"/>
    <mergeCell ref="AE45:AE46"/>
    <mergeCell ref="AF45:AF46"/>
    <mergeCell ref="AG45:AG46"/>
    <mergeCell ref="AH45:AH46"/>
    <mergeCell ref="N41:N44"/>
    <mergeCell ref="AD41:AD44"/>
    <mergeCell ref="AE41:AE44"/>
    <mergeCell ref="I45:I46"/>
    <mergeCell ref="J35:J40"/>
    <mergeCell ref="K35:K40"/>
    <mergeCell ref="J45:J46"/>
    <mergeCell ref="A50:A52"/>
    <mergeCell ref="B50:B52"/>
    <mergeCell ref="C50:C52"/>
    <mergeCell ref="D50:D52"/>
    <mergeCell ref="E50:E52"/>
    <mergeCell ref="F50:F52"/>
    <mergeCell ref="G50:G52"/>
    <mergeCell ref="I50:I52"/>
    <mergeCell ref="J50:J52"/>
    <mergeCell ref="A41:A44"/>
    <mergeCell ref="B41:B44"/>
    <mergeCell ref="C41:C44"/>
    <mergeCell ref="D41:D44"/>
    <mergeCell ref="E41:E44"/>
    <mergeCell ref="A45:A46"/>
    <mergeCell ref="B45:B46"/>
    <mergeCell ref="C45:C46"/>
    <mergeCell ref="D45:D46"/>
    <mergeCell ref="E45:E46"/>
    <mergeCell ref="F45:F46"/>
    <mergeCell ref="N47:N49"/>
    <mergeCell ref="AD47:AD49"/>
    <mergeCell ref="AE47:AE49"/>
    <mergeCell ref="AF47:AF49"/>
    <mergeCell ref="AG47:AG49"/>
    <mergeCell ref="AH47:AH49"/>
    <mergeCell ref="A47:A49"/>
    <mergeCell ref="B47:B49"/>
    <mergeCell ref="C47:C49"/>
    <mergeCell ref="D47:D49"/>
    <mergeCell ref="E47:E49"/>
    <mergeCell ref="F47:F49"/>
    <mergeCell ref="G47:G49"/>
    <mergeCell ref="I47:I49"/>
    <mergeCell ref="J47:J49"/>
    <mergeCell ref="K47:K49"/>
    <mergeCell ref="L47:L49"/>
    <mergeCell ref="M47:M49"/>
    <mergeCell ref="AN66:AN67"/>
    <mergeCell ref="AK68:AK70"/>
    <mergeCell ref="AL68:AL70"/>
    <mergeCell ref="AM68:AM70"/>
    <mergeCell ref="AN68:AN70"/>
    <mergeCell ref="A53:A54"/>
    <mergeCell ref="B53:B54"/>
    <mergeCell ref="C53:C54"/>
    <mergeCell ref="D53:D54"/>
    <mergeCell ref="E53:E54"/>
    <mergeCell ref="F53:F54"/>
    <mergeCell ref="G53:G54"/>
    <mergeCell ref="I53:I54"/>
    <mergeCell ref="J53:J54"/>
    <mergeCell ref="K53:K54"/>
    <mergeCell ref="L53:L54"/>
    <mergeCell ref="M53:M54"/>
    <mergeCell ref="N53:N54"/>
    <mergeCell ref="AD53:AD54"/>
    <mergeCell ref="AE53:AE54"/>
    <mergeCell ref="AF53:AF54"/>
    <mergeCell ref="AG53:AG54"/>
    <mergeCell ref="AH53:AH54"/>
    <mergeCell ref="AJ66:AJ67"/>
    <mergeCell ref="AK66:AK67"/>
    <mergeCell ref="AL66:AL67"/>
    <mergeCell ref="AM66:AM67"/>
    <mergeCell ref="AJ53:AJ54"/>
    <mergeCell ref="AL53:AL54"/>
    <mergeCell ref="K50:K52"/>
    <mergeCell ref="L50:L52"/>
    <mergeCell ref="M50:M52"/>
    <mergeCell ref="N50:N52"/>
    <mergeCell ref="AD50:AD52"/>
    <mergeCell ref="AE50:AE52"/>
    <mergeCell ref="AF50:AF52"/>
    <mergeCell ref="AG50:AG52"/>
    <mergeCell ref="AH50:AH52"/>
    <mergeCell ref="AI50:AI52"/>
    <mergeCell ref="AI53:AI54"/>
    <mergeCell ref="N66:N67"/>
    <mergeCell ref="AD66:AD67"/>
    <mergeCell ref="AE66:AE67"/>
    <mergeCell ref="AF66:AF67"/>
    <mergeCell ref="AG66:AG67"/>
    <mergeCell ref="N55:N63"/>
    <mergeCell ref="AD55:AD63"/>
    <mergeCell ref="AJ55:AJ63"/>
    <mergeCell ref="A15:A26"/>
    <mergeCell ref="B15:B26"/>
    <mergeCell ref="C15:C26"/>
    <mergeCell ref="D15:D26"/>
    <mergeCell ref="E15:E26"/>
    <mergeCell ref="F15:F26"/>
    <mergeCell ref="G15:G26"/>
    <mergeCell ref="H15:H16"/>
    <mergeCell ref="I15:I26"/>
    <mergeCell ref="H17:H19"/>
    <mergeCell ref="H23:H26"/>
    <mergeCell ref="A32:A34"/>
    <mergeCell ref="B32:B34"/>
    <mergeCell ref="C32:C34"/>
    <mergeCell ref="D32:D34"/>
    <mergeCell ref="E32:E34"/>
    <mergeCell ref="F32:F34"/>
    <mergeCell ref="G32:G34"/>
    <mergeCell ref="G27:G31"/>
    <mergeCell ref="A27:A31"/>
    <mergeCell ref="C27:C31"/>
    <mergeCell ref="D27:D31"/>
    <mergeCell ref="D113:G113"/>
    <mergeCell ref="AM15:AM26"/>
    <mergeCell ref="AN15:AN26"/>
    <mergeCell ref="AK71:AK74"/>
    <mergeCell ref="AL71:AL74"/>
    <mergeCell ref="AM71:AM74"/>
    <mergeCell ref="AN71:AN74"/>
    <mergeCell ref="AK75:AK82"/>
    <mergeCell ref="AL75:AL82"/>
    <mergeCell ref="AM75:AM82"/>
    <mergeCell ref="AN75:AN82"/>
    <mergeCell ref="AM53:AM54"/>
    <mergeCell ref="AK53:AK54"/>
    <mergeCell ref="AN41:AN44"/>
    <mergeCell ref="AN45:AN46"/>
    <mergeCell ref="AN53:AN54"/>
    <mergeCell ref="D108:G108"/>
    <mergeCell ref="D109:G109"/>
    <mergeCell ref="D111:G111"/>
    <mergeCell ref="D112:G112"/>
    <mergeCell ref="AI41:AI44"/>
    <mergeCell ref="AK41:AK44"/>
    <mergeCell ref="AL41:AL44"/>
    <mergeCell ref="AM41:AM44"/>
    <mergeCell ref="AH32:AH34"/>
    <mergeCell ref="AI32:AI34"/>
    <mergeCell ref="I32:I34"/>
    <mergeCell ref="J32:J34"/>
    <mergeCell ref="I35:I40"/>
    <mergeCell ref="K32:K34"/>
    <mergeCell ref="L32:L34"/>
    <mergeCell ref="M32:M34"/>
    <mergeCell ref="N32:N34"/>
    <mergeCell ref="AD32:AD34"/>
    <mergeCell ref="AE32:AE34"/>
    <mergeCell ref="AF32:AF34"/>
    <mergeCell ref="AG32:AG34"/>
    <mergeCell ref="AF35:AF40"/>
    <mergeCell ref="L35:L40"/>
    <mergeCell ref="M35:M40"/>
    <mergeCell ref="N35:N40"/>
    <mergeCell ref="AD35:AD40"/>
    <mergeCell ref="AE35:AE40"/>
  </mergeCells>
  <conditionalFormatting sqref="J15 Z15:Z82 J53:J56">
    <cfRule type="cellIs" dxfId="371" priority="65" operator="equal">
      <formula>"Baja"</formula>
    </cfRule>
    <cfRule type="cellIs" dxfId="370" priority="62" operator="equal">
      <formula>"Muy Alta"</formula>
    </cfRule>
    <cfRule type="cellIs" dxfId="369" priority="66" operator="equal">
      <formula>"Muy Baja"</formula>
    </cfRule>
    <cfRule type="cellIs" dxfId="368" priority="63" operator="equal">
      <formula>"Alta"</formula>
    </cfRule>
    <cfRule type="cellIs" dxfId="367" priority="64" operator="equal">
      <formula>"Media"</formula>
    </cfRule>
  </conditionalFormatting>
  <conditionalFormatting sqref="J27">
    <cfRule type="cellIs" dxfId="366" priority="397" operator="equal">
      <formula>"Alta"</formula>
    </cfRule>
    <cfRule type="cellIs" dxfId="365" priority="396" operator="equal">
      <formula>"Muy Alta"</formula>
    </cfRule>
    <cfRule type="cellIs" dxfId="364" priority="398" operator="equal">
      <formula>"Media"</formula>
    </cfRule>
    <cfRule type="cellIs" dxfId="363" priority="399" operator="equal">
      <formula>"Baja"</formula>
    </cfRule>
    <cfRule type="cellIs" dxfId="362" priority="400" operator="equal">
      <formula>"Muy Baja"</formula>
    </cfRule>
  </conditionalFormatting>
  <conditionalFormatting sqref="J32">
    <cfRule type="cellIs" dxfId="361" priority="28" operator="equal">
      <formula>"Muy Baja"</formula>
    </cfRule>
    <cfRule type="cellIs" dxfId="360" priority="27" operator="equal">
      <formula>"Baja"</formula>
    </cfRule>
    <cfRule type="cellIs" dxfId="359" priority="26" operator="equal">
      <formula>"Media"</formula>
    </cfRule>
    <cfRule type="cellIs" dxfId="358" priority="25" operator="equal">
      <formula>"Alta"</formula>
    </cfRule>
    <cfRule type="cellIs" dxfId="357" priority="24" operator="equal">
      <formula>"Muy Alta"</formula>
    </cfRule>
  </conditionalFormatting>
  <conditionalFormatting sqref="J35">
    <cfRule type="cellIs" dxfId="356" priority="372" operator="equal">
      <formula>"Muy Alta"</formula>
    </cfRule>
    <cfRule type="cellIs" dxfId="355" priority="373" operator="equal">
      <formula>"Alta"</formula>
    </cfRule>
    <cfRule type="cellIs" dxfId="354" priority="374" operator="equal">
      <formula>"Media"</formula>
    </cfRule>
    <cfRule type="cellIs" dxfId="353" priority="375" operator="equal">
      <formula>"Baja"</formula>
    </cfRule>
    <cfRule type="cellIs" dxfId="352" priority="376" operator="equal">
      <formula>"Muy Baja"</formula>
    </cfRule>
  </conditionalFormatting>
  <conditionalFormatting sqref="J41">
    <cfRule type="cellIs" dxfId="351" priority="211" operator="equal">
      <formula>"Baja"</formula>
    </cfRule>
    <cfRule type="cellIs" dxfId="350" priority="212" operator="equal">
      <formula>"Muy Baja"</formula>
    </cfRule>
    <cfRule type="cellIs" dxfId="349" priority="208" operator="equal">
      <formula>"Muy Alta"</formula>
    </cfRule>
    <cfRule type="cellIs" dxfId="348" priority="209" operator="equal">
      <formula>"Alta"</formula>
    </cfRule>
    <cfRule type="cellIs" dxfId="347" priority="210" operator="equal">
      <formula>"Media"</formula>
    </cfRule>
  </conditionalFormatting>
  <conditionalFormatting sqref="J45:J47">
    <cfRule type="cellIs" dxfId="346" priority="183" operator="equal">
      <formula>"Baja"</formula>
    </cfRule>
    <cfRule type="cellIs" dxfId="345" priority="184" operator="equal">
      <formula>"Muy Baja"</formula>
    </cfRule>
    <cfRule type="cellIs" dxfId="344" priority="180" operator="equal">
      <formula>"Muy Alta"</formula>
    </cfRule>
    <cfRule type="cellIs" dxfId="343" priority="181" operator="equal">
      <formula>"Alta"</formula>
    </cfRule>
    <cfRule type="cellIs" dxfId="342" priority="182" operator="equal">
      <formula>"Media"</formula>
    </cfRule>
  </conditionalFormatting>
  <conditionalFormatting sqref="J50">
    <cfRule type="cellIs" dxfId="341" priority="236" operator="equal">
      <formula>"Muy Alta"</formula>
    </cfRule>
    <cfRule type="cellIs" dxfId="340" priority="237" operator="equal">
      <formula>"Alta"</formula>
    </cfRule>
    <cfRule type="cellIs" dxfId="339" priority="240" operator="equal">
      <formula>"Muy Baja"</formula>
    </cfRule>
    <cfRule type="cellIs" dxfId="338" priority="239" operator="equal">
      <formula>"Baja"</formula>
    </cfRule>
    <cfRule type="cellIs" dxfId="337" priority="238" operator="equal">
      <formula>"Media"</formula>
    </cfRule>
  </conditionalFormatting>
  <conditionalFormatting sqref="J71">
    <cfRule type="cellIs" dxfId="336" priority="830" operator="equal">
      <formula>"Muy Baja"</formula>
    </cfRule>
    <cfRule type="cellIs" dxfId="335" priority="829" operator="equal">
      <formula>"Baja"</formula>
    </cfRule>
    <cfRule type="cellIs" dxfId="334" priority="828" operator="equal">
      <formula>"Media"</formula>
    </cfRule>
    <cfRule type="cellIs" dxfId="333" priority="827" operator="equal">
      <formula>"Alta"</formula>
    </cfRule>
    <cfRule type="cellIs" dxfId="332" priority="826" operator="equal">
      <formula>"Muy Alta"</formula>
    </cfRule>
  </conditionalFormatting>
  <conditionalFormatting sqref="J75">
    <cfRule type="cellIs" dxfId="331" priority="817" operator="equal">
      <formula>"Alta"</formula>
    </cfRule>
    <cfRule type="cellIs" dxfId="330" priority="816" operator="equal">
      <formula>"Muy Alta"</formula>
    </cfRule>
    <cfRule type="cellIs" dxfId="329" priority="820" operator="equal">
      <formula>"Muy Baja"</formula>
    </cfRule>
    <cfRule type="cellIs" dxfId="328" priority="819" operator="equal">
      <formula>"Baja"</formula>
    </cfRule>
    <cfRule type="cellIs" dxfId="327" priority="818" operator="equal">
      <formula>"Media"</formula>
    </cfRule>
  </conditionalFormatting>
  <conditionalFormatting sqref="L15 AB15:AB82 L53:L56">
    <cfRule type="cellIs" dxfId="326" priority="61" operator="equal">
      <formula>"Leve"</formula>
    </cfRule>
    <cfRule type="cellIs" dxfId="325" priority="60" operator="equal">
      <formula>"Menor"</formula>
    </cfRule>
    <cfRule type="cellIs" dxfId="324" priority="57" operator="equal">
      <formula>"Catastrófico"</formula>
    </cfRule>
    <cfRule type="cellIs" dxfId="323" priority="59" operator="equal">
      <formula>"Moderado"</formula>
    </cfRule>
    <cfRule type="cellIs" dxfId="322" priority="58" operator="equal">
      <formula>"Mayor"</formula>
    </cfRule>
  </conditionalFormatting>
  <conditionalFormatting sqref="L27">
    <cfRule type="cellIs" dxfId="321" priority="391" operator="equal">
      <formula>"Catastrófico"</formula>
    </cfRule>
    <cfRule type="cellIs" dxfId="320" priority="392" operator="equal">
      <formula>"Mayor"</formula>
    </cfRule>
    <cfRule type="cellIs" dxfId="319" priority="393" operator="equal">
      <formula>"Moderado"</formula>
    </cfRule>
    <cfRule type="cellIs" dxfId="318" priority="394" operator="equal">
      <formula>"Menor"</formula>
    </cfRule>
    <cfRule type="cellIs" dxfId="317" priority="395" operator="equal">
      <formula>"Leve"</formula>
    </cfRule>
  </conditionalFormatting>
  <conditionalFormatting sqref="L32">
    <cfRule type="cellIs" dxfId="316" priority="19" operator="equal">
      <formula>"Catastrófico"</formula>
    </cfRule>
    <cfRule type="cellIs" dxfId="315" priority="20" operator="equal">
      <formula>"Mayor"</formula>
    </cfRule>
    <cfRule type="cellIs" dxfId="314" priority="21" operator="equal">
      <formula>"Moderado"</formula>
    </cfRule>
    <cfRule type="cellIs" dxfId="313" priority="22" operator="equal">
      <formula>"Menor"</formula>
    </cfRule>
    <cfRule type="cellIs" dxfId="312" priority="23" operator="equal">
      <formula>"Leve"</formula>
    </cfRule>
  </conditionalFormatting>
  <conditionalFormatting sqref="L35">
    <cfRule type="cellIs" dxfId="311" priority="370" operator="equal">
      <formula>"Menor"</formula>
    </cfRule>
    <cfRule type="cellIs" dxfId="310" priority="371" operator="equal">
      <formula>"Leve"</formula>
    </cfRule>
    <cfRule type="cellIs" dxfId="309" priority="369" operator="equal">
      <formula>"Moderado"</formula>
    </cfRule>
    <cfRule type="cellIs" dxfId="308" priority="368" operator="equal">
      <formula>"Mayor"</formula>
    </cfRule>
    <cfRule type="cellIs" dxfId="307" priority="367" operator="equal">
      <formula>"Catastrófico"</formula>
    </cfRule>
  </conditionalFormatting>
  <conditionalFormatting sqref="L41">
    <cfRule type="cellIs" dxfId="306" priority="207" operator="equal">
      <formula>"Leve"</formula>
    </cfRule>
    <cfRule type="cellIs" dxfId="305" priority="203" operator="equal">
      <formula>"Catastrófico"</formula>
    </cfRule>
    <cfRule type="cellIs" dxfId="304" priority="204" operator="equal">
      <formula>"Mayor"</formula>
    </cfRule>
    <cfRule type="cellIs" dxfId="303" priority="205" operator="equal">
      <formula>"Moderado"</formula>
    </cfRule>
    <cfRule type="cellIs" dxfId="302" priority="206" operator="equal">
      <formula>"Menor"</formula>
    </cfRule>
  </conditionalFormatting>
  <conditionalFormatting sqref="L45:L47">
    <cfRule type="cellIs" dxfId="301" priority="179" operator="equal">
      <formula>"Leve"</formula>
    </cfRule>
    <cfRule type="cellIs" dxfId="300" priority="178" operator="equal">
      <formula>"Menor"</formula>
    </cfRule>
    <cfRule type="cellIs" dxfId="299" priority="175" operator="equal">
      <formula>"Catastrófico"</formula>
    </cfRule>
    <cfRule type="cellIs" dxfId="298" priority="177" operator="equal">
      <formula>"Moderado"</formula>
    </cfRule>
    <cfRule type="cellIs" dxfId="297" priority="176" operator="equal">
      <formula>"Mayor"</formula>
    </cfRule>
  </conditionalFormatting>
  <conditionalFormatting sqref="L50">
    <cfRule type="cellIs" dxfId="296" priority="231" operator="equal">
      <formula>"Catastrófico"</formula>
    </cfRule>
    <cfRule type="cellIs" dxfId="295" priority="232" operator="equal">
      <formula>"Mayor"</formula>
    </cfRule>
    <cfRule type="cellIs" dxfId="294" priority="235" operator="equal">
      <formula>"Leve"</formula>
    </cfRule>
    <cfRule type="cellIs" dxfId="293" priority="234" operator="equal">
      <formula>"Menor"</formula>
    </cfRule>
    <cfRule type="cellIs" dxfId="292" priority="233" operator="equal">
      <formula>"Moderado"</formula>
    </cfRule>
  </conditionalFormatting>
  <conditionalFormatting sqref="L71">
    <cfRule type="cellIs" dxfId="291" priority="822" operator="equal">
      <formula>"Mayor"</formula>
    </cfRule>
    <cfRule type="cellIs" dxfId="290" priority="821" operator="equal">
      <formula>"Catastrófico"</formula>
    </cfRule>
    <cfRule type="cellIs" dxfId="289" priority="825" operator="equal">
      <formula>"Leve"</formula>
    </cfRule>
    <cfRule type="cellIs" dxfId="288" priority="824" operator="equal">
      <formula>"Menor"</formula>
    </cfRule>
    <cfRule type="cellIs" dxfId="287" priority="823" operator="equal">
      <formula>"Moderado"</formula>
    </cfRule>
  </conditionalFormatting>
  <conditionalFormatting sqref="L75">
    <cfRule type="cellIs" dxfId="286" priority="811" operator="equal">
      <formula>"Catastrófico"</formula>
    </cfRule>
    <cfRule type="cellIs" dxfId="285" priority="815" operator="equal">
      <formula>"Leve"</formula>
    </cfRule>
    <cfRule type="cellIs" dxfId="284" priority="814" operator="equal">
      <formula>"Menor"</formula>
    </cfRule>
    <cfRule type="cellIs" dxfId="283" priority="813" operator="equal">
      <formula>"Moderado"</formula>
    </cfRule>
    <cfRule type="cellIs" dxfId="282" priority="812" operator="equal">
      <formula>"Mayor"</formula>
    </cfRule>
  </conditionalFormatting>
  <conditionalFormatting sqref="N15 N53:N56">
    <cfRule type="cellIs" dxfId="281" priority="56" operator="equal">
      <formula>"Bajo"</formula>
    </cfRule>
    <cfRule type="cellIs" dxfId="280" priority="55" operator="equal">
      <formula>"Moderado"</formula>
    </cfRule>
    <cfRule type="cellIs" dxfId="279" priority="54" operator="equal">
      <formula>"Alto"</formula>
    </cfRule>
    <cfRule type="cellIs" dxfId="278" priority="53" operator="equal">
      <formula>"Extremo"</formula>
    </cfRule>
  </conditionalFormatting>
  <conditionalFormatting sqref="N27">
    <cfRule type="cellIs" dxfId="277" priority="390" operator="equal">
      <formula>"Bajo"</formula>
    </cfRule>
    <cfRule type="cellIs" dxfId="276" priority="387" operator="equal">
      <formula>"Extremo"</formula>
    </cfRule>
    <cfRule type="cellIs" dxfId="275" priority="388" operator="equal">
      <formula>"Alto"</formula>
    </cfRule>
    <cfRule type="cellIs" dxfId="274" priority="389" operator="equal">
      <formula>"Moderado"</formula>
    </cfRule>
  </conditionalFormatting>
  <conditionalFormatting sqref="N32">
    <cfRule type="cellIs" dxfId="273" priority="3" operator="equal">
      <formula>"Moderado"</formula>
    </cfRule>
    <cfRule type="cellIs" dxfId="272" priority="4" operator="equal">
      <formula>"Bajo"</formula>
    </cfRule>
    <cfRule type="cellIs" dxfId="271" priority="2" operator="equal">
      <formula>"Alto"</formula>
    </cfRule>
    <cfRule type="cellIs" dxfId="270" priority="1" operator="equal">
      <formula>"Extremo"</formula>
    </cfRule>
  </conditionalFormatting>
  <conditionalFormatting sqref="N35">
    <cfRule type="cellIs" dxfId="269" priority="366" operator="equal">
      <formula>"Bajo"</formula>
    </cfRule>
    <cfRule type="cellIs" dxfId="268" priority="365" operator="equal">
      <formula>"Moderado"</formula>
    </cfRule>
    <cfRule type="cellIs" dxfId="267" priority="364" operator="equal">
      <formula>"Alto"</formula>
    </cfRule>
    <cfRule type="cellIs" dxfId="266" priority="363" operator="equal">
      <formula>"Extremo"</formula>
    </cfRule>
  </conditionalFormatting>
  <conditionalFormatting sqref="N41">
    <cfRule type="cellIs" dxfId="265" priority="200" operator="equal">
      <formula>"Alto"</formula>
    </cfRule>
    <cfRule type="cellIs" dxfId="264" priority="201" operator="equal">
      <formula>"Moderado"</formula>
    </cfRule>
    <cfRule type="cellIs" dxfId="263" priority="199" operator="equal">
      <formula>"Extremo"</formula>
    </cfRule>
    <cfRule type="cellIs" dxfId="262" priority="202" operator="equal">
      <formula>"Bajo"</formula>
    </cfRule>
  </conditionalFormatting>
  <conditionalFormatting sqref="N45:N47">
    <cfRule type="cellIs" dxfId="261" priority="171" operator="equal">
      <formula>"Extremo"</formula>
    </cfRule>
    <cfRule type="cellIs" dxfId="260" priority="172" operator="equal">
      <formula>"Alto"</formula>
    </cfRule>
    <cfRule type="cellIs" dxfId="259" priority="173" operator="equal">
      <formula>"Moderado"</formula>
    </cfRule>
    <cfRule type="cellIs" dxfId="258" priority="174" operator="equal">
      <formula>"Bajo"</formula>
    </cfRule>
  </conditionalFormatting>
  <conditionalFormatting sqref="N50">
    <cfRule type="cellIs" dxfId="257" priority="227" operator="equal">
      <formula>"Extremo"</formula>
    </cfRule>
    <cfRule type="cellIs" dxfId="256" priority="228" operator="equal">
      <formula>"Alto"</formula>
    </cfRule>
    <cfRule type="cellIs" dxfId="255" priority="229" operator="equal">
      <formula>"Moderado"</formula>
    </cfRule>
    <cfRule type="cellIs" dxfId="254" priority="230" operator="equal">
      <formula>"Bajo"</formula>
    </cfRule>
  </conditionalFormatting>
  <conditionalFormatting sqref="N64:N66 AH64:AH66">
    <cfRule type="cellIs" dxfId="253" priority="106" operator="equal">
      <formula>"Alto"</formula>
    </cfRule>
    <cfRule type="cellIs" dxfId="252" priority="105" operator="equal">
      <formula>"Extremo"</formula>
    </cfRule>
    <cfRule type="cellIs" dxfId="251" priority="108" operator="equal">
      <formula>"Bajo"</formula>
    </cfRule>
    <cfRule type="cellIs" dxfId="250" priority="107" operator="equal">
      <formula>"Moderado"</formula>
    </cfRule>
  </conditionalFormatting>
  <conditionalFormatting sqref="N68">
    <cfRule type="cellIs" dxfId="249" priority="765" operator="equal">
      <formula>"Extremo"</formula>
    </cfRule>
    <cfRule type="cellIs" dxfId="248" priority="766" operator="equal">
      <formula>"Alto"</formula>
    </cfRule>
    <cfRule type="cellIs" dxfId="247" priority="767" operator="equal">
      <formula>"Moderado"</formula>
    </cfRule>
    <cfRule type="cellIs" dxfId="246" priority="768" operator="equal">
      <formula>"Bajo"</formula>
    </cfRule>
  </conditionalFormatting>
  <conditionalFormatting sqref="N71">
    <cfRule type="cellIs" dxfId="245" priority="727" operator="equal">
      <formula>"Extremo"</formula>
    </cfRule>
    <cfRule type="cellIs" dxfId="244" priority="728" operator="equal">
      <formula>"Alto"</formula>
    </cfRule>
    <cfRule type="cellIs" dxfId="243" priority="729" operator="equal">
      <formula>"Moderado"</formula>
    </cfRule>
    <cfRule type="cellIs" dxfId="242" priority="730" operator="equal">
      <formula>"Bajo"</formula>
    </cfRule>
  </conditionalFormatting>
  <conditionalFormatting sqref="N75">
    <cfRule type="cellIs" dxfId="241" priority="810" operator="equal">
      <formula>"Bajo"</formula>
    </cfRule>
    <cfRule type="cellIs" dxfId="240" priority="807" operator="equal">
      <formula>"Extremo"</formula>
    </cfRule>
    <cfRule type="cellIs" dxfId="239" priority="809" operator="equal">
      <formula>"Moderado"</formula>
    </cfRule>
    <cfRule type="cellIs" dxfId="238" priority="808" operator="equal">
      <formula>"Alto"</formula>
    </cfRule>
  </conditionalFormatting>
  <conditionalFormatting sqref="AD15">
    <cfRule type="cellIs" dxfId="237" priority="49" operator="equal">
      <formula>"Alta"</formula>
    </cfRule>
    <cfRule type="cellIs" dxfId="236" priority="52" operator="equal">
      <formula>"Muy Baja"</formula>
    </cfRule>
    <cfRule type="cellIs" dxfId="235" priority="51" operator="equal">
      <formula>"Baja"</formula>
    </cfRule>
    <cfRule type="cellIs" dxfId="234" priority="50" operator="equal">
      <formula>"Media"</formula>
    </cfRule>
    <cfRule type="cellIs" dxfId="233" priority="48" operator="equal">
      <formula>"Muy Alta"</formula>
    </cfRule>
  </conditionalFormatting>
  <conditionalFormatting sqref="AD27">
    <cfRule type="cellIs" dxfId="232" priority="1346" operator="equal">
      <formula>"Muy Alta"</formula>
    </cfRule>
    <cfRule type="cellIs" dxfId="231" priority="1347" operator="equal">
      <formula>"Alta"</formula>
    </cfRule>
    <cfRule type="cellIs" dxfId="230" priority="1348" operator="equal">
      <formula>"Media"</formula>
    </cfRule>
    <cfRule type="cellIs" dxfId="229" priority="1349" operator="equal">
      <formula>"Baja"</formula>
    </cfRule>
    <cfRule type="cellIs" dxfId="228" priority="1350" operator="equal">
      <formula>"Muy Baja"</formula>
    </cfRule>
  </conditionalFormatting>
  <conditionalFormatting sqref="AD32">
    <cfRule type="cellIs" dxfId="227" priority="12" operator="equal">
      <formula>"Media"</formula>
    </cfRule>
    <cfRule type="cellIs" dxfId="226" priority="10" operator="equal">
      <formula>"Muy Alta"</formula>
    </cfRule>
    <cfRule type="cellIs" dxfId="225" priority="11" operator="equal">
      <formula>"Alta"</formula>
    </cfRule>
    <cfRule type="cellIs" dxfId="224" priority="13" operator="equal">
      <formula>"Baja"</formula>
    </cfRule>
    <cfRule type="cellIs" dxfId="223" priority="14" operator="equal">
      <formula>"Muy Baja"</formula>
    </cfRule>
  </conditionalFormatting>
  <conditionalFormatting sqref="AD35">
    <cfRule type="cellIs" dxfId="222" priority="358" operator="equal">
      <formula>"Muy Alta"</formula>
    </cfRule>
    <cfRule type="cellIs" dxfId="221" priority="359" operator="equal">
      <formula>"Alta"</formula>
    </cfRule>
    <cfRule type="cellIs" dxfId="220" priority="360" operator="equal">
      <formula>"Media"</formula>
    </cfRule>
    <cfRule type="cellIs" dxfId="219" priority="361" operator="equal">
      <formula>"Baja"</formula>
    </cfRule>
    <cfRule type="cellIs" dxfId="218" priority="362" operator="equal">
      <formula>"Muy Baja"</formula>
    </cfRule>
  </conditionalFormatting>
  <conditionalFormatting sqref="AD41">
    <cfRule type="cellIs" dxfId="217" priority="198" operator="equal">
      <formula>"Muy Baja"</formula>
    </cfRule>
    <cfRule type="cellIs" dxfId="216" priority="195" operator="equal">
      <formula>"Alta"</formula>
    </cfRule>
    <cfRule type="cellIs" dxfId="215" priority="194" operator="equal">
      <formula>"Muy Alta"</formula>
    </cfRule>
    <cfRule type="cellIs" dxfId="214" priority="196" operator="equal">
      <formula>"Media"</formula>
    </cfRule>
    <cfRule type="cellIs" dxfId="213" priority="197" operator="equal">
      <formula>"Baja"</formula>
    </cfRule>
  </conditionalFormatting>
  <conditionalFormatting sqref="AD45">
    <cfRule type="cellIs" dxfId="212" priority="169" operator="equal">
      <formula>"Baja"</formula>
    </cfRule>
    <cfRule type="cellIs" dxfId="211" priority="170" operator="equal">
      <formula>"Muy Baja"</formula>
    </cfRule>
    <cfRule type="cellIs" dxfId="210" priority="168" operator="equal">
      <formula>"Media"</formula>
    </cfRule>
    <cfRule type="cellIs" dxfId="209" priority="167" operator="equal">
      <formula>"Alta"</formula>
    </cfRule>
    <cfRule type="cellIs" dxfId="208" priority="166" operator="equal">
      <formula>"Muy Alta"</formula>
    </cfRule>
  </conditionalFormatting>
  <conditionalFormatting sqref="AD47">
    <cfRule type="cellIs" dxfId="207" priority="247" operator="equal">
      <formula>"Alta"</formula>
    </cfRule>
    <cfRule type="cellIs" dxfId="206" priority="246" operator="equal">
      <formula>"Muy Alta"</formula>
    </cfRule>
    <cfRule type="cellIs" dxfId="205" priority="248" operator="equal">
      <formula>"Media"</formula>
    </cfRule>
    <cfRule type="cellIs" dxfId="204" priority="249" operator="equal">
      <formula>"Baja"</formula>
    </cfRule>
    <cfRule type="cellIs" dxfId="203" priority="250" operator="equal">
      <formula>"Muy Baja"</formula>
    </cfRule>
  </conditionalFormatting>
  <conditionalFormatting sqref="AD50">
    <cfRule type="cellIs" dxfId="202" priority="222" operator="equal">
      <formula>"Muy Alta"</formula>
    </cfRule>
    <cfRule type="cellIs" dxfId="201" priority="226" operator="equal">
      <formula>"Muy Baja"</formula>
    </cfRule>
    <cfRule type="cellIs" dxfId="200" priority="223" operator="equal">
      <formula>"Alta"</formula>
    </cfRule>
    <cfRule type="cellIs" dxfId="199" priority="224" operator="equal">
      <formula>"Media"</formula>
    </cfRule>
    <cfRule type="cellIs" dxfId="198" priority="225" operator="equal">
      <formula>"Baja"</formula>
    </cfRule>
  </conditionalFormatting>
  <conditionalFormatting sqref="AD53">
    <cfRule type="cellIs" dxfId="197" priority="138" operator="equal">
      <formula>"Muy Alta"</formula>
    </cfRule>
    <cfRule type="cellIs" dxfId="196" priority="139" operator="equal">
      <formula>"Alta"</formula>
    </cfRule>
    <cfRule type="cellIs" dxfId="195" priority="142" operator="equal">
      <formula>"Muy Baja"</formula>
    </cfRule>
    <cfRule type="cellIs" dxfId="194" priority="140" operator="equal">
      <formula>"Media"</formula>
    </cfRule>
    <cfRule type="cellIs" dxfId="193" priority="141" operator="equal">
      <formula>"Baja"</formula>
    </cfRule>
  </conditionalFormatting>
  <conditionalFormatting sqref="AD55">
    <cfRule type="cellIs" dxfId="192" priority="86" operator="equal">
      <formula>"Muy Alta"</formula>
    </cfRule>
    <cfRule type="cellIs" dxfId="191" priority="87" operator="equal">
      <formula>"Alta"</formula>
    </cfRule>
    <cfRule type="cellIs" dxfId="190" priority="88" operator="equal">
      <formula>"Media"</formula>
    </cfRule>
    <cfRule type="cellIs" dxfId="189" priority="89" operator="equal">
      <formula>"Baja"</formula>
    </cfRule>
    <cfRule type="cellIs" dxfId="188" priority="90" operator="equal">
      <formula>"Muy Baja"</formula>
    </cfRule>
  </conditionalFormatting>
  <conditionalFormatting sqref="AD64:AD66 J64:J68">
    <cfRule type="cellIs" dxfId="187" priority="114" operator="equal">
      <formula>"Muy Alta"</formula>
    </cfRule>
    <cfRule type="cellIs" dxfId="186" priority="115" operator="equal">
      <formula>"Alta"</formula>
    </cfRule>
    <cfRule type="cellIs" dxfId="185" priority="116" operator="equal">
      <formula>"Media"</formula>
    </cfRule>
    <cfRule type="cellIs" dxfId="184" priority="117" operator="equal">
      <formula>"Baja"</formula>
    </cfRule>
    <cfRule type="cellIs" dxfId="183" priority="118" operator="equal">
      <formula>"Muy Baja"</formula>
    </cfRule>
  </conditionalFormatting>
  <conditionalFormatting sqref="AD68">
    <cfRule type="cellIs" dxfId="182" priority="754" operator="equal">
      <formula>"Muy Baja"</formula>
    </cfRule>
    <cfRule type="cellIs" dxfId="181" priority="753" operator="equal">
      <formula>"Baja"</formula>
    </cfRule>
    <cfRule type="cellIs" dxfId="180" priority="751" operator="equal">
      <formula>"Alta"</formula>
    </cfRule>
    <cfRule type="cellIs" dxfId="179" priority="750" operator="equal">
      <formula>"Muy Alta"</formula>
    </cfRule>
    <cfRule type="cellIs" dxfId="178" priority="752" operator="equal">
      <formula>"Media"</formula>
    </cfRule>
  </conditionalFormatting>
  <conditionalFormatting sqref="AD71">
    <cfRule type="cellIs" dxfId="177" priority="726" operator="equal">
      <formula>"Muy Baja"</formula>
    </cfRule>
    <cfRule type="cellIs" dxfId="176" priority="725" operator="equal">
      <formula>"Baja"</formula>
    </cfRule>
    <cfRule type="cellIs" dxfId="175" priority="724" operator="equal">
      <formula>"Media"</formula>
    </cfRule>
    <cfRule type="cellIs" dxfId="174" priority="722" operator="equal">
      <formula>"Muy Alta"</formula>
    </cfRule>
    <cfRule type="cellIs" dxfId="173" priority="723" operator="equal">
      <formula>"Alta"</formula>
    </cfRule>
  </conditionalFormatting>
  <conditionalFormatting sqref="AD75">
    <cfRule type="cellIs" dxfId="172" priority="690" operator="equal">
      <formula>"Media"</formula>
    </cfRule>
    <cfRule type="cellIs" dxfId="171" priority="688" operator="equal">
      <formula>"Muy Alta"</formula>
    </cfRule>
    <cfRule type="cellIs" dxfId="170" priority="689" operator="equal">
      <formula>"Alta"</formula>
    </cfRule>
    <cfRule type="cellIs" dxfId="169" priority="692" operator="equal">
      <formula>"Muy Baja"</formula>
    </cfRule>
    <cfRule type="cellIs" dxfId="168" priority="691" operator="equal">
      <formula>"Baja"</formula>
    </cfRule>
  </conditionalFormatting>
  <conditionalFormatting sqref="AF15">
    <cfRule type="cellIs" dxfId="167" priority="46" operator="equal">
      <formula>"Menor"</formula>
    </cfRule>
    <cfRule type="cellIs" dxfId="166" priority="47" operator="equal">
      <formula>"Leve"</formula>
    </cfRule>
    <cfRule type="cellIs" dxfId="165" priority="43" operator="equal">
      <formula>"Catastrófico"</formula>
    </cfRule>
    <cfRule type="cellIs" dxfId="164" priority="44" operator="equal">
      <formula>"Mayor"</formula>
    </cfRule>
    <cfRule type="cellIs" dxfId="163" priority="45" operator="equal">
      <formula>"Moderado"</formula>
    </cfRule>
  </conditionalFormatting>
  <conditionalFormatting sqref="AF27">
    <cfRule type="cellIs" dxfId="162" priority="1345" operator="equal">
      <formula>"Leve"</formula>
    </cfRule>
    <cfRule type="cellIs" dxfId="161" priority="1344" operator="equal">
      <formula>"Menor"</formula>
    </cfRule>
    <cfRule type="cellIs" dxfId="160" priority="1343" operator="equal">
      <formula>"Moderado"</formula>
    </cfRule>
    <cfRule type="cellIs" dxfId="159" priority="1341" operator="equal">
      <formula>"Catastrófico"</formula>
    </cfRule>
    <cfRule type="cellIs" dxfId="158" priority="1342" operator="equal">
      <formula>"Mayor"</formula>
    </cfRule>
  </conditionalFormatting>
  <conditionalFormatting sqref="AF32">
    <cfRule type="cellIs" dxfId="157" priority="6" operator="equal">
      <formula>"Mayor"</formula>
    </cfRule>
    <cfRule type="cellIs" dxfId="156" priority="7" operator="equal">
      <formula>"Moderado"</formula>
    </cfRule>
    <cfRule type="cellIs" dxfId="155" priority="8" operator="equal">
      <formula>"Menor"</formula>
    </cfRule>
    <cfRule type="cellIs" dxfId="154" priority="9" operator="equal">
      <formula>"Leve"</formula>
    </cfRule>
    <cfRule type="cellIs" dxfId="153" priority="5" operator="equal">
      <formula>"Catastrófico"</formula>
    </cfRule>
  </conditionalFormatting>
  <conditionalFormatting sqref="AF35">
    <cfRule type="cellIs" dxfId="152" priority="353" operator="equal">
      <formula>"Catastrófico"</formula>
    </cfRule>
    <cfRule type="cellIs" dxfId="151" priority="357" operator="equal">
      <formula>"Leve"</formula>
    </cfRule>
    <cfRule type="cellIs" dxfId="150" priority="356" operator="equal">
      <formula>"Menor"</formula>
    </cfRule>
    <cfRule type="cellIs" dxfId="149" priority="355" operator="equal">
      <formula>"Moderado"</formula>
    </cfRule>
    <cfRule type="cellIs" dxfId="148" priority="354" operator="equal">
      <formula>"Mayor"</formula>
    </cfRule>
  </conditionalFormatting>
  <conditionalFormatting sqref="AF41">
    <cfRule type="cellIs" dxfId="147" priority="189" operator="equal">
      <formula>"Catastrófico"</formula>
    </cfRule>
    <cfRule type="cellIs" dxfId="146" priority="193" operator="equal">
      <formula>"Leve"</formula>
    </cfRule>
    <cfRule type="cellIs" dxfId="145" priority="192" operator="equal">
      <formula>"Menor"</formula>
    </cfRule>
    <cfRule type="cellIs" dxfId="144" priority="191" operator="equal">
      <formula>"Moderado"</formula>
    </cfRule>
    <cfRule type="cellIs" dxfId="143" priority="190" operator="equal">
      <formula>"Mayor"</formula>
    </cfRule>
  </conditionalFormatting>
  <conditionalFormatting sqref="AF45">
    <cfRule type="cellIs" dxfId="142" priority="161" operator="equal">
      <formula>"Catastrófico"</formula>
    </cfRule>
    <cfRule type="cellIs" dxfId="141" priority="163" operator="equal">
      <formula>"Moderado"</formula>
    </cfRule>
    <cfRule type="cellIs" dxfId="140" priority="162" operator="equal">
      <formula>"Mayor"</formula>
    </cfRule>
    <cfRule type="cellIs" dxfId="139" priority="164" operator="equal">
      <formula>"Menor"</formula>
    </cfRule>
    <cfRule type="cellIs" dxfId="138" priority="165" operator="equal">
      <formula>"Leve"</formula>
    </cfRule>
  </conditionalFormatting>
  <conditionalFormatting sqref="AF47">
    <cfRule type="cellIs" dxfId="137" priority="241" operator="equal">
      <formula>"Catastrófico"</formula>
    </cfRule>
    <cfRule type="cellIs" dxfId="136" priority="242" operator="equal">
      <formula>"Mayor"</formula>
    </cfRule>
    <cfRule type="cellIs" dxfId="135" priority="243" operator="equal">
      <formula>"Moderado"</formula>
    </cfRule>
    <cfRule type="cellIs" dxfId="134" priority="244" operator="equal">
      <formula>"Menor"</formula>
    </cfRule>
    <cfRule type="cellIs" dxfId="133" priority="245" operator="equal">
      <formula>"Leve"</formula>
    </cfRule>
  </conditionalFormatting>
  <conditionalFormatting sqref="AF50">
    <cfRule type="cellIs" dxfId="132" priority="219" operator="equal">
      <formula>"Moderado"</formula>
    </cfRule>
    <cfRule type="cellIs" dxfId="131" priority="220" operator="equal">
      <formula>"Menor"</formula>
    </cfRule>
    <cfRule type="cellIs" dxfId="130" priority="221" operator="equal">
      <formula>"Leve"</formula>
    </cfRule>
    <cfRule type="cellIs" dxfId="129" priority="218" operator="equal">
      <formula>"Mayor"</formula>
    </cfRule>
    <cfRule type="cellIs" dxfId="128" priority="217" operator="equal">
      <formula>"Catastrófico"</formula>
    </cfRule>
  </conditionalFormatting>
  <conditionalFormatting sqref="AF53">
    <cfRule type="cellIs" dxfId="127" priority="133" operator="equal">
      <formula>"Catastrófico"</formula>
    </cfRule>
    <cfRule type="cellIs" dxfId="126" priority="137" operator="equal">
      <formula>"Leve"</formula>
    </cfRule>
    <cfRule type="cellIs" dxfId="125" priority="136" operator="equal">
      <formula>"Menor"</formula>
    </cfRule>
    <cfRule type="cellIs" dxfId="124" priority="135" operator="equal">
      <formula>"Moderado"</formula>
    </cfRule>
    <cfRule type="cellIs" dxfId="123" priority="134" operator="equal">
      <formula>"Mayor"</formula>
    </cfRule>
  </conditionalFormatting>
  <conditionalFormatting sqref="AF55">
    <cfRule type="cellIs" dxfId="122" priority="81" operator="equal">
      <formula>"Catastrófico"</formula>
    </cfRule>
    <cfRule type="cellIs" dxfId="121" priority="82" operator="equal">
      <formula>"Mayor"</formula>
    </cfRule>
    <cfRule type="cellIs" dxfId="120" priority="83" operator="equal">
      <formula>"Moderado"</formula>
    </cfRule>
    <cfRule type="cellIs" dxfId="119" priority="84" operator="equal">
      <formula>"Menor"</formula>
    </cfRule>
    <cfRule type="cellIs" dxfId="118" priority="85" operator="equal">
      <formula>"Leve"</formula>
    </cfRule>
  </conditionalFormatting>
  <conditionalFormatting sqref="AF64:AF66 L64:L68">
    <cfRule type="cellIs" dxfId="117" priority="112" operator="equal">
      <formula>"Menor"</formula>
    </cfRule>
    <cfRule type="cellIs" dxfId="116" priority="113" operator="equal">
      <formula>"Leve"</formula>
    </cfRule>
    <cfRule type="cellIs" dxfId="115" priority="111" operator="equal">
      <formula>"Moderado"</formula>
    </cfRule>
    <cfRule type="cellIs" dxfId="114" priority="109" operator="equal">
      <formula>"Catastrófico"</formula>
    </cfRule>
    <cfRule type="cellIs" dxfId="113" priority="110" operator="equal">
      <formula>"Mayor"</formula>
    </cfRule>
  </conditionalFormatting>
  <conditionalFormatting sqref="AF68">
    <cfRule type="cellIs" dxfId="112" priority="746" operator="equal">
      <formula>"Mayor"</formula>
    </cfRule>
    <cfRule type="cellIs" dxfId="111" priority="747" operator="equal">
      <formula>"Moderado"</formula>
    </cfRule>
    <cfRule type="cellIs" dxfId="110" priority="749" operator="equal">
      <formula>"Leve"</formula>
    </cfRule>
    <cfRule type="cellIs" dxfId="109" priority="748" operator="equal">
      <formula>"Menor"</formula>
    </cfRule>
    <cfRule type="cellIs" dxfId="108" priority="745" operator="equal">
      <formula>"Catastrófico"</formula>
    </cfRule>
  </conditionalFormatting>
  <conditionalFormatting sqref="AF71">
    <cfRule type="cellIs" dxfId="107" priority="720" operator="equal">
      <formula>"Menor"</formula>
    </cfRule>
    <cfRule type="cellIs" dxfId="106" priority="717" operator="equal">
      <formula>"Catastrófico"</formula>
    </cfRule>
    <cfRule type="cellIs" dxfId="105" priority="718" operator="equal">
      <formula>"Mayor"</formula>
    </cfRule>
    <cfRule type="cellIs" dxfId="104" priority="719" operator="equal">
      <formula>"Moderado"</formula>
    </cfRule>
    <cfRule type="cellIs" dxfId="103" priority="721" operator="equal">
      <formula>"Leve"</formula>
    </cfRule>
  </conditionalFormatting>
  <conditionalFormatting sqref="AF75">
    <cfRule type="cellIs" dxfId="102" priority="683" operator="equal">
      <formula>"Catastrófico"</formula>
    </cfRule>
    <cfRule type="cellIs" dxfId="101" priority="685" operator="equal">
      <formula>"Moderado"</formula>
    </cfRule>
    <cfRule type="cellIs" dxfId="100" priority="684" operator="equal">
      <formula>"Mayor"</formula>
    </cfRule>
    <cfRule type="cellIs" dxfId="99" priority="686" operator="equal">
      <formula>"Menor"</formula>
    </cfRule>
    <cfRule type="cellIs" dxfId="98" priority="687" operator="equal">
      <formula>"Leve"</formula>
    </cfRule>
  </conditionalFormatting>
  <conditionalFormatting sqref="AH15">
    <cfRule type="cellIs" dxfId="97" priority="39" operator="equal">
      <formula>"Extremo"</formula>
    </cfRule>
    <cfRule type="cellIs" dxfId="96" priority="40" operator="equal">
      <formula>"Alto"</formula>
    </cfRule>
    <cfRule type="cellIs" dxfId="95" priority="42" operator="equal">
      <formula>"Bajo"</formula>
    </cfRule>
    <cfRule type="cellIs" dxfId="94" priority="41" operator="equal">
      <formula>"Moderado"</formula>
    </cfRule>
  </conditionalFormatting>
  <conditionalFormatting sqref="AH27">
    <cfRule type="cellIs" dxfId="93" priority="1333" operator="equal">
      <formula>"Extremo"</formula>
    </cfRule>
    <cfRule type="cellIs" dxfId="92" priority="1334" operator="equal">
      <formula>"Alto"</formula>
    </cfRule>
    <cfRule type="cellIs" dxfId="91" priority="1335" operator="equal">
      <formula>"Moderado"</formula>
    </cfRule>
    <cfRule type="cellIs" dxfId="90" priority="1336" operator="equal">
      <formula>"Bajo"</formula>
    </cfRule>
  </conditionalFormatting>
  <conditionalFormatting sqref="AH32">
    <cfRule type="cellIs" dxfId="89" priority="16" operator="equal">
      <formula>"Alto"</formula>
    </cfRule>
    <cfRule type="cellIs" dxfId="88" priority="17" operator="equal">
      <formula>"Moderado"</formula>
    </cfRule>
    <cfRule type="cellIs" dxfId="87" priority="18" operator="equal">
      <formula>"Bajo"</formula>
    </cfRule>
    <cfRule type="cellIs" dxfId="86" priority="15" operator="equal">
      <formula>"Extremo"</formula>
    </cfRule>
  </conditionalFormatting>
  <conditionalFormatting sqref="AH35">
    <cfRule type="cellIs" dxfId="85" priority="352" operator="equal">
      <formula>"Bajo"</formula>
    </cfRule>
    <cfRule type="cellIs" dxfId="84" priority="349" operator="equal">
      <formula>"Extremo"</formula>
    </cfRule>
    <cfRule type="cellIs" dxfId="83" priority="351" operator="equal">
      <formula>"Moderado"</formula>
    </cfRule>
    <cfRule type="cellIs" dxfId="82" priority="350" operator="equal">
      <formula>"Alto"</formula>
    </cfRule>
  </conditionalFormatting>
  <conditionalFormatting sqref="AH41">
    <cfRule type="cellIs" dxfId="81" priority="188" operator="equal">
      <formula>"Bajo"</formula>
    </cfRule>
    <cfRule type="cellIs" dxfId="80" priority="187" operator="equal">
      <formula>"Moderado"</formula>
    </cfRule>
    <cfRule type="cellIs" dxfId="79" priority="186" operator="equal">
      <formula>"Alto"</formula>
    </cfRule>
    <cfRule type="cellIs" dxfId="78" priority="185" operator="equal">
      <formula>"Extremo"</formula>
    </cfRule>
  </conditionalFormatting>
  <conditionalFormatting sqref="AH45">
    <cfRule type="cellIs" dxfId="77" priority="158" operator="equal">
      <formula>"Alto"</formula>
    </cfRule>
    <cfRule type="cellIs" dxfId="76" priority="157" operator="equal">
      <formula>"Extremo"</formula>
    </cfRule>
    <cfRule type="cellIs" dxfId="75" priority="159" operator="equal">
      <formula>"Moderado"</formula>
    </cfRule>
    <cfRule type="cellIs" dxfId="74" priority="160" operator="equal">
      <formula>"Bajo"</formula>
    </cfRule>
  </conditionalFormatting>
  <conditionalFormatting sqref="AH47">
    <cfRule type="cellIs" dxfId="73" priority="254" operator="equal">
      <formula>"Bajo"</formula>
    </cfRule>
    <cfRule type="cellIs" dxfId="72" priority="253" operator="equal">
      <formula>"Moderado"</formula>
    </cfRule>
    <cfRule type="cellIs" dxfId="71" priority="252" operator="equal">
      <formula>"Alto"</formula>
    </cfRule>
    <cfRule type="cellIs" dxfId="70" priority="251" operator="equal">
      <formula>"Extremo"</formula>
    </cfRule>
  </conditionalFormatting>
  <conditionalFormatting sqref="AH50">
    <cfRule type="cellIs" dxfId="69" priority="213" operator="equal">
      <formula>"Extremo"</formula>
    </cfRule>
    <cfRule type="cellIs" dxfId="68" priority="216" operator="equal">
      <formula>"Bajo"</formula>
    </cfRule>
    <cfRule type="cellIs" dxfId="67" priority="215" operator="equal">
      <formula>"Moderado"</formula>
    </cfRule>
    <cfRule type="cellIs" dxfId="66" priority="214" operator="equal">
      <formula>"Alto"</formula>
    </cfRule>
  </conditionalFormatting>
  <conditionalFormatting sqref="AH53">
    <cfRule type="cellIs" dxfId="65" priority="130" operator="equal">
      <formula>"Alto"</formula>
    </cfRule>
    <cfRule type="cellIs" dxfId="64" priority="129" operator="equal">
      <formula>"Extremo"</formula>
    </cfRule>
    <cfRule type="cellIs" dxfId="63" priority="131" operator="equal">
      <formula>"Moderado"</formula>
    </cfRule>
    <cfRule type="cellIs" dxfId="62" priority="132" operator="equal">
      <formula>"Bajo"</formula>
    </cfRule>
  </conditionalFormatting>
  <conditionalFormatting sqref="AH55">
    <cfRule type="cellIs" dxfId="61" priority="80" operator="equal">
      <formula>"Bajo"</formula>
    </cfRule>
    <cfRule type="cellIs" dxfId="60" priority="79" operator="equal">
      <formula>"Moderado"</formula>
    </cfRule>
    <cfRule type="cellIs" dxfId="59" priority="78" operator="equal">
      <formula>"Alto"</formula>
    </cfRule>
    <cfRule type="cellIs" dxfId="58" priority="77" operator="equal">
      <formula>"Extremo"</formula>
    </cfRule>
  </conditionalFormatting>
  <conditionalFormatting sqref="AH68">
    <cfRule type="cellIs" dxfId="57" priority="744" operator="equal">
      <formula>"Bajo"</formula>
    </cfRule>
    <cfRule type="cellIs" dxfId="56" priority="743" operator="equal">
      <formula>"Moderado"</formula>
    </cfRule>
    <cfRule type="cellIs" dxfId="55" priority="742" operator="equal">
      <formula>"Alto"</formula>
    </cfRule>
    <cfRule type="cellIs" dxfId="54" priority="741" operator="equal">
      <formula>"Extremo"</formula>
    </cfRule>
  </conditionalFormatting>
  <conditionalFormatting sqref="AH71">
    <cfRule type="cellIs" dxfId="53" priority="714" operator="equal">
      <formula>"Alto"</formula>
    </cfRule>
    <cfRule type="cellIs" dxfId="52" priority="713" operator="equal">
      <formula>"Extremo"</formula>
    </cfRule>
    <cfRule type="cellIs" dxfId="51" priority="716" operator="equal">
      <formula>"Bajo"</formula>
    </cfRule>
    <cfRule type="cellIs" dxfId="50" priority="715" operator="equal">
      <formula>"Moderado"</formula>
    </cfRule>
  </conditionalFormatting>
  <conditionalFormatting sqref="AH75">
    <cfRule type="cellIs" dxfId="49" priority="682" operator="equal">
      <formula>"Bajo"</formula>
    </cfRule>
    <cfRule type="cellIs" dxfId="48" priority="681" operator="equal">
      <formula>"Moderado"</formula>
    </cfRule>
    <cfRule type="cellIs" dxfId="47" priority="680" operator="equal">
      <formula>"Alto"</formula>
    </cfRule>
    <cfRule type="cellIs" dxfId="46" priority="679" operator="equal">
      <formula>"Extremo"</formula>
    </cfRule>
  </conditionalFormatting>
  <hyperlinks>
    <hyperlink ref="AN15" r:id="rId1" display="https://isvimedgovco-my.sharepoint.com/:f:/g/personal/leydy_jaramillo_isvimed_gov_co/IgDwGPxjW1FgT7hzun_YqV-hAdSutnug-HsTTaZwX03gRAo?e=6qs3At_x000a__x000a_" xr:uid="{804E3753-0309-4F96-BBB4-897669CCDD83}"/>
  </hyperlinks>
  <pageMargins left="0.7" right="0.7" top="0.75" bottom="0.75" header="0.3" footer="0.3"/>
  <pageSetup orientation="portrait" r:id="rId2"/>
  <drawing r:id="rId3"/>
  <legacyDrawing r:id="rId4"/>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200-000000000000}">
          <x14:formula1>
            <xm:f>'Opciones Tratamiento'!$B$22:$B$34</xm:f>
          </x14:formula1>
          <xm:sqref>D6:E7</xm:sqref>
        </x14:dataValidation>
        <x14:dataValidation type="list" allowBlank="1" showInputMessage="1" showErrorMessage="1" xr:uid="{00000000-0002-0000-0200-000001000000}">
          <x14:formula1>
            <xm:f>'Opciones Tratamiento'!$B$2:$B$5</xm:f>
          </x14:formula1>
          <xm:sqref>AI27:AI34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7B78-05E0-4B4C-AC91-6CAA01C355AD}">
  <dimension ref="A1:JF33"/>
  <sheetViews>
    <sheetView showGridLines="0" topLeftCell="A9" zoomScaleNormal="70" workbookViewId="0">
      <selection activeCell="A20" sqref="A20"/>
    </sheetView>
  </sheetViews>
  <sheetFormatPr baseColWidth="10" defaultColWidth="0" defaultRowHeight="13.2" x14ac:dyDescent="0.3"/>
  <cols>
    <col min="1" max="1" width="15.6640625" style="160" customWidth="1"/>
    <col min="2" max="2" width="42.44140625" style="164" customWidth="1"/>
    <col min="3" max="3" width="16.44140625" style="160" customWidth="1"/>
    <col min="4" max="4" width="12.44140625" style="164" customWidth="1"/>
    <col min="5" max="5" width="25" style="164" customWidth="1"/>
    <col min="6" max="6" width="3.77734375" style="164" customWidth="1"/>
    <col min="7" max="7" width="7.44140625" style="164" customWidth="1"/>
    <col min="8" max="8" width="14" style="164" customWidth="1"/>
    <col min="9" max="9" width="13.77734375" style="164" customWidth="1"/>
    <col min="10" max="13" width="12.44140625" style="164" customWidth="1"/>
    <col min="14" max="14" width="3.77734375" style="164" customWidth="1"/>
    <col min="15" max="15" width="4.77734375" style="160" hidden="1" customWidth="1"/>
    <col min="16" max="16" width="6.44140625" style="160" hidden="1" customWidth="1"/>
    <col min="17" max="17" width="11" style="160" hidden="1" customWidth="1"/>
    <col min="18" max="22" width="12" style="160" hidden="1" customWidth="1"/>
    <col min="23" max="23" width="11.44140625" style="160" customWidth="1"/>
    <col min="24" max="27" width="11.44140625" style="160" hidden="1" customWidth="1"/>
    <col min="28" max="28" width="5.44140625" style="160" hidden="1" customWidth="1"/>
    <col min="29" max="29" width="26.77734375" style="160" hidden="1" customWidth="1"/>
    <col min="30" max="34" width="22.77734375" style="164" hidden="1" customWidth="1"/>
    <col min="35" max="35" width="23.44140625" style="160" hidden="1" customWidth="1"/>
    <col min="36" max="263" width="11.44140625" style="160" hidden="1" customWidth="1"/>
    <col min="264" max="264" width="12.44140625" style="160" hidden="1" customWidth="1"/>
    <col min="265" max="265" width="47" style="160" hidden="1" customWidth="1"/>
    <col min="266" max="266" width="35" style="160" hidden="1" customWidth="1"/>
    <col min="267" max="16384" width="14.44140625" style="160" hidden="1"/>
  </cols>
  <sheetData>
    <row r="1" spans="1:36" s="140" customFormat="1" ht="54" customHeight="1" x14ac:dyDescent="0.25">
      <c r="A1" s="409" t="s">
        <v>603</v>
      </c>
      <c r="B1" s="409"/>
      <c r="C1" s="409"/>
      <c r="D1" s="409"/>
      <c r="E1" s="134"/>
      <c r="F1" s="134"/>
      <c r="G1" s="134"/>
      <c r="H1" s="135"/>
      <c r="I1" s="136"/>
      <c r="J1" s="137"/>
      <c r="K1" s="138"/>
      <c r="L1" s="138"/>
      <c r="M1" s="139"/>
      <c r="N1" s="134"/>
      <c r="AD1" s="141"/>
      <c r="AE1" s="141"/>
      <c r="AF1" s="141"/>
      <c r="AG1" s="141"/>
      <c r="AH1" s="141"/>
    </row>
    <row r="2" spans="1:36" s="140" customFormat="1" ht="15.45" customHeight="1" x14ac:dyDescent="0.25">
      <c r="A2" s="142"/>
      <c r="B2" s="134"/>
      <c r="C2" s="143"/>
      <c r="D2" s="139"/>
      <c r="E2" s="134"/>
      <c r="F2" s="134"/>
      <c r="G2" s="134"/>
      <c r="I2" s="144"/>
      <c r="J2" s="145"/>
      <c r="K2" s="146"/>
      <c r="L2" s="147"/>
      <c r="M2" s="139"/>
      <c r="N2" s="134"/>
      <c r="AD2" s="141"/>
      <c r="AE2" s="141"/>
      <c r="AF2" s="141"/>
      <c r="AG2" s="141"/>
      <c r="AH2" s="141"/>
    </row>
    <row r="3" spans="1:36" s="140" customFormat="1" ht="20.55" customHeight="1" thickBot="1" x14ac:dyDescent="0.3">
      <c r="A3" s="148" t="s">
        <v>84</v>
      </c>
      <c r="B3" s="410" t="str">
        <f>'2. MATRIZ DE RIESGOS'!D6</f>
        <v>Gestión Estratégica</v>
      </c>
      <c r="C3" s="410"/>
      <c r="D3" s="410"/>
      <c r="AD3" s="141"/>
      <c r="AE3" s="141"/>
      <c r="AF3" s="141"/>
      <c r="AG3" s="141"/>
      <c r="AH3" s="141"/>
    </row>
    <row r="4" spans="1:36" s="140" customFormat="1" ht="14.4" thickBot="1" x14ac:dyDescent="0.3">
      <c r="A4" s="149"/>
      <c r="B4" s="150"/>
      <c r="C4" s="150"/>
      <c r="D4" s="139"/>
      <c r="G4" s="411" t="s">
        <v>604</v>
      </c>
      <c r="H4" s="412"/>
      <c r="I4" s="412"/>
      <c r="J4" s="412"/>
      <c r="K4" s="412"/>
      <c r="L4" s="412"/>
      <c r="M4" s="413"/>
      <c r="O4" s="151"/>
      <c r="P4" s="151"/>
      <c r="Q4" s="152"/>
      <c r="R4" s="414" t="s">
        <v>507</v>
      </c>
      <c r="S4" s="414"/>
      <c r="T4" s="414"/>
      <c r="U4" s="414"/>
      <c r="V4" s="415"/>
      <c r="AD4" s="141"/>
      <c r="AE4" s="141"/>
      <c r="AF4" s="141"/>
      <c r="AG4" s="141"/>
      <c r="AH4" s="141"/>
    </row>
    <row r="5" spans="1:36" x14ac:dyDescent="0.3">
      <c r="A5" s="153"/>
      <c r="B5" s="154"/>
      <c r="C5" s="416" t="s">
        <v>605</v>
      </c>
      <c r="D5" s="416"/>
      <c r="E5" s="416"/>
      <c r="F5" s="156"/>
      <c r="G5" s="157"/>
      <c r="H5" s="158"/>
      <c r="I5" s="414" t="s">
        <v>507</v>
      </c>
      <c r="J5" s="414"/>
      <c r="K5" s="414"/>
      <c r="L5" s="414"/>
      <c r="M5" s="415"/>
      <c r="N5" s="156"/>
      <c r="O5" s="159"/>
      <c r="P5" s="159"/>
      <c r="R5" s="161">
        <v>0.2</v>
      </c>
      <c r="S5" s="161">
        <v>0.4</v>
      </c>
      <c r="T5" s="161">
        <v>0.6</v>
      </c>
      <c r="U5" s="161">
        <v>0.8</v>
      </c>
      <c r="V5" s="162">
        <v>1</v>
      </c>
      <c r="W5" s="163"/>
      <c r="X5" s="163"/>
      <c r="Y5" s="163"/>
      <c r="Z5" s="163"/>
      <c r="AA5" s="163"/>
      <c r="AB5" s="163"/>
      <c r="AC5" s="163"/>
    </row>
    <row r="6" spans="1:36" ht="26.4" x14ac:dyDescent="0.25">
      <c r="A6" s="165" t="s">
        <v>606</v>
      </c>
      <c r="B6" s="166" t="s">
        <v>607</v>
      </c>
      <c r="C6" s="155" t="s">
        <v>608</v>
      </c>
      <c r="D6" s="155" t="s">
        <v>518</v>
      </c>
      <c r="E6" s="167" t="s">
        <v>609</v>
      </c>
      <c r="F6" s="156"/>
      <c r="G6" s="159"/>
      <c r="H6" s="168"/>
      <c r="I6" s="169" t="s">
        <v>523</v>
      </c>
      <c r="J6" s="169" t="s">
        <v>526</v>
      </c>
      <c r="K6" s="169" t="s">
        <v>193</v>
      </c>
      <c r="L6" s="169" t="s">
        <v>143</v>
      </c>
      <c r="M6" s="170" t="s">
        <v>240</v>
      </c>
      <c r="N6" s="156"/>
      <c r="O6" s="159"/>
      <c r="P6" s="159"/>
      <c r="Q6" s="171"/>
      <c r="R6" s="172" t="s">
        <v>523</v>
      </c>
      <c r="S6" s="172" t="s">
        <v>526</v>
      </c>
      <c r="T6" s="172" t="s">
        <v>193</v>
      </c>
      <c r="U6" s="172" t="s">
        <v>143</v>
      </c>
      <c r="V6" s="173" t="s">
        <v>240</v>
      </c>
      <c r="Y6" s="163"/>
      <c r="Z6" s="163"/>
      <c r="AA6" s="174"/>
      <c r="AB6" s="174"/>
      <c r="AC6" s="174"/>
      <c r="AD6" s="174"/>
      <c r="AE6" s="174"/>
      <c r="AF6" s="174"/>
      <c r="AG6" s="174"/>
      <c r="AH6" s="174"/>
      <c r="AI6" s="174"/>
      <c r="AJ6" s="174"/>
    </row>
    <row r="7" spans="1:36" ht="125.25" customHeight="1" x14ac:dyDescent="0.25">
      <c r="A7" s="175" t="str">
        <f>'2. MATRIZ DE RIESGOS'!A15</f>
        <v>GE29</v>
      </c>
      <c r="B7" s="176" t="str">
        <f>'2. MATRIZ DE RIESGOS'!G15</f>
        <v>Posiblidad de afectación reputacional y económica del Instituto, reflejada en requerimientos por parte del Distrito y el Concejo de Medellín derivados del incumplimiento de la meta del plan de desarrollo, hallazgos de entes de control, PQRSD y acciones legales por parte de la comunidad, mayores costos en los proyectos constructivos por incumplimiento de los tiempos de entrega, asi como mayor tiempo en los pagos de los hogares que hacen parte del programa de arrendamiento temporal. Lo anterior, debido a  que no sea posible gestionar la entrega material de la solución definitiva de vivienda a los hogares que esperan superar el deficit cuantitativo.</v>
      </c>
      <c r="C7" s="177" t="str">
        <f>'2. MATRIZ DE RIESGOS'!J15</f>
        <v>Alta</v>
      </c>
      <c r="D7" s="177" t="str">
        <f>'2. MATRIZ DE RIESGOS'!L15</f>
        <v>Mayor</v>
      </c>
      <c r="E7" s="176" t="str">
        <f>+IF(C7=$Q$7,IF(D7=$R$6,$R$7,IF(D7=$S$6,$S$7,IF(D7=$T$6,$T$7,IF(D7=$U$6,$U$7,IF(D7=$V$6,$V$7))))),IF(C7=$Q$8,IF(D7=$R$6,$R$8,IF(D7=$S$6,$S$8,IF(D7=$T$6,$T$8,IF(D7=$U$6,$U$8,IF(D7=$V$6,$V$8))))),IF(C7=$Q$9,IF(D7=$R$6,$R$9,IF(D7=$S$6,$S$9,IF(D7=$T$6,$T$9,IF(D7=$U$6,$U$9,IF(D7=$V$6,$V$9))))),IF(C7=$Q$10,IF(D7=$R$6,$R$10,IF(D7=$S$6,$S$10,IF(D7=$T$6,$T$10,IF(D7=$U$6,$U$10,IF(D7=$V$6,$V$10))))),IF(C7=$Q$11,IF(D7=$R$6,$R$11,IF(D7=$S$6,$S$11,IF(D7=$T$6,$T$11,IF(D7=$U$6,$U$11,IF(D7=$V$6,$V$11))))),"")))))</f>
        <v>Alto</v>
      </c>
      <c r="F7" s="178"/>
      <c r="G7" s="405" t="s">
        <v>195</v>
      </c>
      <c r="H7" s="169" t="s">
        <v>217</v>
      </c>
      <c r="I7" s="179"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79"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79"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79"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GE18                 </v>
      </c>
      <c r="M7" s="180"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78"/>
      <c r="O7" s="407" t="s">
        <v>195</v>
      </c>
      <c r="P7" s="181">
        <v>1</v>
      </c>
      <c r="Q7" s="172" t="s">
        <v>217</v>
      </c>
      <c r="R7" s="179" t="s">
        <v>508</v>
      </c>
      <c r="S7" s="179" t="s">
        <v>508</v>
      </c>
      <c r="T7" s="179" t="s">
        <v>508</v>
      </c>
      <c r="U7" s="179" t="s">
        <v>508</v>
      </c>
      <c r="V7" s="180" t="s">
        <v>315</v>
      </c>
      <c r="Y7" s="163"/>
      <c r="Z7" s="163"/>
      <c r="AA7" s="174"/>
      <c r="AB7" s="174"/>
      <c r="AC7" s="174"/>
      <c r="AD7" s="182"/>
      <c r="AE7" s="182"/>
      <c r="AF7" s="182"/>
      <c r="AG7" s="182"/>
      <c r="AH7" s="182"/>
      <c r="AI7" s="174"/>
      <c r="AJ7" s="174"/>
    </row>
    <row r="8" spans="1:36" ht="138.44999999999999" customHeight="1" x14ac:dyDescent="0.25">
      <c r="A8" s="175" t="str">
        <f>'2. MATRIZ DE RIESGOS'!A27</f>
        <v>GE17</v>
      </c>
      <c r="B8" s="176" t="str">
        <f>'2. MATRIZ DE RIESGOS'!G27</f>
        <v>Posibilidad de afectación reputacional del Instituto reflejada en  el incumplimiento del cargue de la información en plataforma de entes externos (DAP-SAP, DNP-PIIP), la dificultad para realizar seguimiento al desempeño institucional asi como para la toma de decisiones por parte de la Alta Dirección y hallazgos de los entes de control. Lo anterior, debido a Ia información institucional es reportada de manera inoportuna y/o con inconsistencias en el SMO Institucional y en plataformas externas.</v>
      </c>
      <c r="C8" s="177" t="str">
        <f>'2. MATRIZ DE RIESGOS'!J27</f>
        <v>Media</v>
      </c>
      <c r="D8" s="177" t="str">
        <f>'2. MATRIZ DE RIESGOS'!L27</f>
        <v>Moderado</v>
      </c>
      <c r="E8" s="176" t="str">
        <f>+IF(C8=$Q$7,IF(D8=$R$6,$R$7,IF(D8=$S$6,$S$7,IF(D8=$T$6,$T$7,IF(D8=$U$6,$U$7,IF(D8=$V$6,$V$7))))),IF(C8=$Q$8,IF(D8=$R$6,$R$8,IF(D8=$S$6,$S$8,IF(D8=$T$6,$T$8,IF(D8=$U$6,$U$8,IF(D8=$V$6,$V$8))))),IF(C8=$Q$9,IF(D8=$R$6,$R$9,IF(D8=$S$6,$S$9,IF(D8=$T$6,$T$9,IF(D8=$U$6,$U$9,IF(D8=$V$6,$V$9))))),IF(C8=$Q$10,IF(D8=$R$6,$R$10,IF(D8=$S$6,$S$10,IF(D8=$T$6,$T$10,IF(D8=$U$6,$U$10,IF(D8=$V$6,$V$10))))),IF(C8=$Q$11,IF(D8=$R$6,$R$11,IF(D8=$S$6,$S$11,IF(D8=$T$6,$T$11,IF(D8=$U$6,$U$11,IF(D8=$V$6,$V$11))))),"")))))</f>
        <v>Moderado</v>
      </c>
      <c r="F8" s="178"/>
      <c r="G8" s="405"/>
      <c r="H8" s="169" t="s">
        <v>142</v>
      </c>
      <c r="I8" s="183"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83"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79"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79"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GE29                   </v>
      </c>
      <c r="M8" s="180"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78"/>
      <c r="O8" s="407"/>
      <c r="P8" s="181">
        <v>0.8</v>
      </c>
      <c r="Q8" s="172" t="s">
        <v>142</v>
      </c>
      <c r="R8" s="183" t="s">
        <v>193</v>
      </c>
      <c r="S8" s="183" t="s">
        <v>193</v>
      </c>
      <c r="T8" s="179" t="s">
        <v>508</v>
      </c>
      <c r="U8" s="179" t="s">
        <v>508</v>
      </c>
      <c r="V8" s="180" t="s">
        <v>315</v>
      </c>
      <c r="Y8" s="163"/>
      <c r="Z8" s="163"/>
      <c r="AA8" s="174"/>
      <c r="AB8" s="184"/>
      <c r="AC8" s="185"/>
      <c r="AD8" s="182"/>
      <c r="AE8" s="182"/>
      <c r="AF8" s="182"/>
      <c r="AG8" s="182"/>
      <c r="AH8" s="182"/>
      <c r="AI8" s="174"/>
      <c r="AJ8" s="174"/>
    </row>
    <row r="9" spans="1:36" ht="135" customHeight="1" x14ac:dyDescent="0.25">
      <c r="A9" s="175" t="str">
        <f>'2. MATRIZ DE RIESGOS'!A32</f>
        <v>GE18</v>
      </c>
      <c r="B9" s="176" t="str">
        <f>'2. MATRIZ DE RIESGOS'!G32</f>
        <v>Posiblidad de afectación economica y reputacional de la Entidad reflejada en costos adicionales relacionados con el diseño y construcción de vivienda que no se orienta a las características de la población objetivo asi como en la inconformidad de actores y grupos de interes derivada de la ausencia de información confiable y simétrica para la toma desiciones basadas en datos e información. Lo anterior, debido a que los registros administrativos relacionados con la misionalidad del Instituto tienen deficiencias en variables poblacionales, de identificación de la población y georeferenciación, asi como en la consolidación automatizada de la información.</v>
      </c>
      <c r="C9" s="177" t="str">
        <f>'2. MATRIZ DE RIESGOS'!J32</f>
        <v>Muy Alta</v>
      </c>
      <c r="D9" s="177" t="str">
        <f>'2. MATRIZ DE RIESGOS'!L32</f>
        <v>Mayor</v>
      </c>
      <c r="E9" s="176" t="str">
        <f>+IF(C9=$Q$7,IF(D9=$R$6,$R$7,IF(D9=$S$6,$S$7,IF(D9=$T$6,$T$7,IF(D9=$U$6,$U$7,IF(D9=$V$6,$V$7))))),IF(C9=$Q$8,IF(D9=$R$6,$R$8,IF(D9=$S$6,$S$8,IF(D9=$T$6,$T$8,IF(D9=$U$6,$U$8,IF(D9=$V$6,$V$8))))),IF(C9=$Q$9,IF(D9=$R$6,$R$9,IF(D9=$S$6,$S$9,IF(D9=$T$6,$T$9,IF(D9=$U$6,$U$9,IF(D9=$V$6,$V$9))))),IF(C9=$Q$10,IF(D9=$R$6,$R$10,IF(D9=$S$6,$S$10,IF(D9=$T$6,$T$10,IF(D9=$U$6,$U$10,IF(D9=$V$6,$V$10))))),IF(C9=$Q$11,IF(D9=$R$6,$R$11,IF(D9=$S$6,$S$11,IF(D9=$T$6,$T$11,IF(D9=$U$6,$U$11,IF(D9=$V$6,$V$11))))),"")))))</f>
        <v>Alto</v>
      </c>
      <c r="F9" s="178"/>
      <c r="G9" s="405"/>
      <c r="H9" s="169" t="s">
        <v>192</v>
      </c>
      <c r="I9" s="183"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83"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83"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GE17                  </v>
      </c>
      <c r="L9" s="179"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GE24               </v>
      </c>
      <c r="M9" s="180"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78"/>
      <c r="O9" s="407"/>
      <c r="P9" s="181">
        <v>0.6</v>
      </c>
      <c r="Q9" s="172" t="s">
        <v>192</v>
      </c>
      <c r="R9" s="183" t="s">
        <v>193</v>
      </c>
      <c r="S9" s="183" t="s">
        <v>193</v>
      </c>
      <c r="T9" s="183" t="s">
        <v>193</v>
      </c>
      <c r="U9" s="179" t="s">
        <v>508</v>
      </c>
      <c r="V9" s="180" t="s">
        <v>315</v>
      </c>
      <c r="Y9" s="163"/>
      <c r="Z9" s="163"/>
      <c r="AA9" s="174"/>
      <c r="AB9" s="184"/>
      <c r="AC9" s="185"/>
      <c r="AD9" s="182"/>
      <c r="AE9" s="182"/>
      <c r="AF9" s="182"/>
      <c r="AG9" s="182"/>
      <c r="AH9" s="186"/>
      <c r="AI9" s="174"/>
      <c r="AJ9" s="174"/>
    </row>
    <row r="10" spans="1:36" ht="139.80000000000001" customHeight="1" x14ac:dyDescent="0.25">
      <c r="A10" s="175" t="str">
        <f>'2. MATRIZ DE RIESGOS'!A35</f>
        <v>GE23</v>
      </c>
      <c r="B10" s="176" t="str">
        <f>'2. MATRIZ DE RIESGOS'!G35</f>
        <v>Posibilidad de afectación económica y reputacional del Instituto reflejada en la no asignación de recursos por parte del Distrito de Medellín, incumplimiento de las metas del plan de desarrollo distrital así como hallazgos de los entes de control. Lo anterior, debido a que los proyectos de inversión no cumplen con los estándares técnicos establecidos por el Banco de Proyectos del Distrito de medellín.</v>
      </c>
      <c r="C10" s="177" t="str">
        <f>'2. MATRIZ DE RIESGOS'!J35</f>
        <v>Baja</v>
      </c>
      <c r="D10" s="177" t="str">
        <f>'2. MATRIZ DE RIESGOS'!L35</f>
        <v>Catastrófico</v>
      </c>
      <c r="E10" s="176"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Extremo</v>
      </c>
      <c r="F10" s="178"/>
      <c r="G10" s="405"/>
      <c r="H10" s="169" t="s">
        <v>239</v>
      </c>
      <c r="I10" s="187"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83"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83"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GE26             </v>
      </c>
      <c r="L10" s="179"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GE25  GE27            </v>
      </c>
      <c r="M10" s="180"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GE23        GE21 GE22       </v>
      </c>
      <c r="N10" s="178"/>
      <c r="O10" s="407"/>
      <c r="P10" s="181">
        <v>0.4</v>
      </c>
      <c r="Q10" s="172" t="s">
        <v>239</v>
      </c>
      <c r="R10" s="187" t="s">
        <v>509</v>
      </c>
      <c r="S10" s="183" t="s">
        <v>193</v>
      </c>
      <c r="T10" s="183" t="s">
        <v>193</v>
      </c>
      <c r="U10" s="179" t="s">
        <v>508</v>
      </c>
      <c r="V10" s="180" t="s">
        <v>315</v>
      </c>
      <c r="Y10" s="163"/>
      <c r="Z10" s="163"/>
      <c r="AA10" s="174"/>
      <c r="AB10" s="184"/>
      <c r="AC10" s="185"/>
      <c r="AD10" s="182"/>
      <c r="AE10" s="182"/>
      <c r="AF10" s="182"/>
      <c r="AG10" s="186"/>
      <c r="AH10" s="182"/>
      <c r="AI10" s="174"/>
      <c r="AJ10" s="174"/>
    </row>
    <row r="11" spans="1:36" ht="93" customHeight="1" thickBot="1" x14ac:dyDescent="0.3">
      <c r="A11" s="175" t="str">
        <f>'2. MATRIZ DE RIESGOS'!A41</f>
        <v>GE24</v>
      </c>
      <c r="B11" s="176" t="str">
        <f>'2. MATRIZ DE RIESGOS'!G41</f>
        <v>Posibilidad de afectación reputacional del Instituto, reflejada en requerimientos por parte del Distrito / Concejo Distrital por incumplimiento de la meta de Plan de Desarrollo, asi como por  hallazgos por parte de los entes de control, debido a que no sea posible acompañar socialmente a los inquilinatos en el marco de la Política Publica de Inquilnatos.</v>
      </c>
      <c r="C11" s="177" t="str">
        <f>'2. MATRIZ DE RIESGOS'!J41</f>
        <v>Media</v>
      </c>
      <c r="D11" s="177" t="str">
        <f>'2. MATRIZ DE RIESGOS'!L41</f>
        <v>Mayor</v>
      </c>
      <c r="E11" s="176" t="str">
        <f t="shared" si="0"/>
        <v>Alto</v>
      </c>
      <c r="F11" s="178"/>
      <c r="G11" s="406"/>
      <c r="H11" s="188" t="s">
        <v>319</v>
      </c>
      <c r="I11" s="189"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89"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90"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91"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GE28 GE19 GE20         </v>
      </c>
      <c r="M11" s="192"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78"/>
      <c r="O11" s="408"/>
      <c r="P11" s="193">
        <v>0.2</v>
      </c>
      <c r="Q11" s="194" t="s">
        <v>319</v>
      </c>
      <c r="R11" s="189" t="s">
        <v>509</v>
      </c>
      <c r="S11" s="189" t="s">
        <v>509</v>
      </c>
      <c r="T11" s="190" t="s">
        <v>193</v>
      </c>
      <c r="U11" s="191" t="s">
        <v>508</v>
      </c>
      <c r="V11" s="192" t="s">
        <v>315</v>
      </c>
      <c r="Y11" s="163"/>
      <c r="Z11" s="163"/>
      <c r="AA11" s="174"/>
      <c r="AB11" s="184"/>
      <c r="AC11" s="185"/>
      <c r="AD11" s="182"/>
      <c r="AE11" s="182"/>
      <c r="AF11" s="182"/>
      <c r="AG11" s="195"/>
      <c r="AH11" s="182"/>
      <c r="AI11" s="174"/>
      <c r="AJ11" s="174"/>
    </row>
    <row r="12" spans="1:36" ht="93" customHeight="1" x14ac:dyDescent="0.25">
      <c r="A12" s="175" t="str">
        <f>'2. MATRIZ DE RIESGOS'!A45</f>
        <v>GE25</v>
      </c>
      <c r="B12" s="176" t="str">
        <f>'2. MATRIZ DE RIESGOS'!G45</f>
        <v>Posibilidad de afectación reputacional del Instituto reflejada en requerimientos del Concejo de Medellín y de los diferentes entes de control por deficiente implementación de la Política Pública para los inquilinatos, por incumplimiento de metas de Plan de Desarrollo relacionadas con la  Política Pública para los inquilinatos y así omo por PQRSD, manifestaciones de inconformidad por parte de los diferentes actores del contexto de inquilinatos a traves de diferentes espacios (medios comunicación, redes sociales, mesas de trabajo, recorridos de campo, etc), con respecto a solicitudes que no son correspondidas asi como en hallazgos de los entes de control; todo lo anterior debido a que las dependencias que hacen parte de la implmentación de la política Pública de Inquilinatos según normatividad vigente no se vinculen al Plan de Trabajo de la misma.</v>
      </c>
      <c r="C12" s="177" t="str">
        <f>'2. MATRIZ DE RIESGOS'!J45</f>
        <v>Baja</v>
      </c>
      <c r="D12" s="177" t="str">
        <f>'2. MATRIZ DE RIESGOS'!L45</f>
        <v>Mayor</v>
      </c>
      <c r="E12" s="176" t="str">
        <f t="shared" si="0"/>
        <v>Alto</v>
      </c>
      <c r="F12" s="178"/>
      <c r="G12" s="178"/>
      <c r="H12" s="178"/>
      <c r="I12" s="178"/>
      <c r="J12" s="178"/>
      <c r="K12" s="178"/>
      <c r="L12" s="178"/>
      <c r="M12" s="178"/>
      <c r="N12" s="178"/>
      <c r="Y12" s="163"/>
      <c r="Z12" s="163"/>
      <c r="AA12" s="174"/>
      <c r="AB12" s="184"/>
      <c r="AC12" s="185"/>
      <c r="AD12" s="182"/>
      <c r="AE12" s="182"/>
      <c r="AF12" s="182"/>
      <c r="AG12" s="182"/>
      <c r="AH12" s="182"/>
      <c r="AI12" s="174"/>
      <c r="AJ12" s="174"/>
    </row>
    <row r="13" spans="1:36" ht="93" customHeight="1" x14ac:dyDescent="0.25">
      <c r="A13" s="175" t="str">
        <f>'2. MATRIZ DE RIESGOS'!A53</f>
        <v>GE26</v>
      </c>
      <c r="B13" s="176" t="str">
        <f>'2. MATRIZ DE RIESGOS'!G53</f>
        <v>Posibilidad de afectación reputacional del Instituto por requerimientos del Concejo de Medellín y de los diferentes entes de control por deficiente implementación del Plan Estratégico Habitacional de Medellín PEHMED 20-30, al igual que por incumplimiento de metas de Plan de Desarrollo relacionadas con el Consejo Consultivo Distrital de la Política Habitacional, por PQRSD y manifestaciones de inconformidad por parte de los diferentes actores del contexto de vivienda y habitat a traves de diferentes espacios (medios comunicación, redes sociales, mesas de trabajo, recorridos de campo, etc), con respecto a solicitudes que no son correspondidas. y que esto derive hallazgos por parte de los entes de control. Lo anterior, debido a que no sea posible realizar las sesiones del Consejo Consultivo de acuerdo con con la meta del Plan de Desarrollo Distrital vigente.</v>
      </c>
      <c r="C13" s="177" t="str">
        <f>'2. MATRIZ DE RIESGOS'!J53</f>
        <v>Baja</v>
      </c>
      <c r="D13" s="177" t="str">
        <f>'2. MATRIZ DE RIESGOS'!L53</f>
        <v>Moderado</v>
      </c>
      <c r="E13" s="176" t="str">
        <f t="shared" si="0"/>
        <v>Moderado</v>
      </c>
      <c r="F13" s="178"/>
      <c r="G13" s="178"/>
      <c r="H13" s="178"/>
      <c r="I13" s="178"/>
      <c r="J13" s="178"/>
      <c r="K13" s="178"/>
      <c r="L13" s="178"/>
      <c r="M13" s="178"/>
      <c r="N13" s="178"/>
      <c r="R13" s="155" t="s">
        <v>610</v>
      </c>
      <c r="T13" s="163"/>
      <c r="U13" s="163"/>
      <c r="V13" s="163"/>
      <c r="W13" s="163"/>
      <c r="X13" s="163"/>
      <c r="Y13" s="163"/>
      <c r="Z13" s="163"/>
      <c r="AA13" s="174"/>
      <c r="AB13" s="184"/>
      <c r="AC13" s="174"/>
      <c r="AD13" s="185"/>
      <c r="AE13" s="185"/>
      <c r="AF13" s="185"/>
      <c r="AG13" s="185"/>
      <c r="AH13" s="185"/>
      <c r="AI13" s="174"/>
      <c r="AJ13" s="174"/>
    </row>
    <row r="14" spans="1:36" ht="93" customHeight="1" x14ac:dyDescent="0.25">
      <c r="A14" s="175" t="str">
        <f>'2. MATRIZ DE RIESGOS'!A55</f>
        <v>GE27</v>
      </c>
      <c r="B14" s="176" t="str">
        <f>'2. MATRIZ DE RIESGOS'!G55</f>
        <v>Posibilidad de afectación reputacional y económica del Instituto reflejada en requerimientos por parte del Distrito / Concejo Distrital por incumplimiento de metas de Plan de Desarrollo, hallazgos por parte de los entes de control, pqrs y manifestaciones de inconformidad a través de distintos medios que derivan en la perdida de credibilidad en el Instituto, así como posible pérdida de recursos ocasionada por dar continuidad a etapas de la prefactibilidad y estructuración, con resultados que indican que el proyecto no es viable. Lo anterior, debido a que desde el estudio de viabilidad preliminar hasta finalizar la etapa de estructuración, se inviabilicen los predios con potencial de desarrollo de proyectos de vivienda VIP y/o VIS asignados.</v>
      </c>
      <c r="C14" s="177" t="str">
        <f>'2. MATRIZ DE RIESGOS'!J55</f>
        <v>Baja</v>
      </c>
      <c r="D14" s="177" t="str">
        <f>'2. MATRIZ DE RIESGOS'!L55</f>
        <v>Mayor</v>
      </c>
      <c r="E14" s="176" t="str">
        <f t="shared" si="0"/>
        <v>Alto</v>
      </c>
      <c r="F14" s="178"/>
      <c r="G14" s="178"/>
      <c r="H14" s="178"/>
      <c r="I14" s="178"/>
      <c r="J14" s="178"/>
      <c r="K14" s="178"/>
      <c r="L14" s="178"/>
      <c r="M14" s="178"/>
      <c r="N14" s="178"/>
      <c r="R14" s="196" t="s">
        <v>315</v>
      </c>
      <c r="T14" s="163"/>
      <c r="U14" s="163"/>
      <c r="V14" s="163"/>
      <c r="W14" s="163"/>
      <c r="X14" s="163"/>
      <c r="Y14" s="163"/>
      <c r="Z14" s="163"/>
      <c r="AA14" s="174"/>
      <c r="AB14" s="174"/>
      <c r="AC14" s="174"/>
      <c r="AD14" s="182"/>
      <c r="AE14" s="182"/>
      <c r="AF14" s="182"/>
      <c r="AG14" s="182"/>
      <c r="AH14" s="182"/>
      <c r="AI14" s="174"/>
      <c r="AJ14" s="174"/>
    </row>
    <row r="15" spans="1:36" ht="93" customHeight="1" x14ac:dyDescent="0.25">
      <c r="A15" s="175" t="str">
        <f>'2. MATRIZ DE RIESGOS'!A64</f>
        <v>GE28</v>
      </c>
      <c r="B15" s="176" t="str">
        <f>'2. MATRIZ DE RIESGOS'!G64</f>
        <v>Posibilidad de afectación reputaciona reflejada en requerimientos por parte del Distrito / Concejo Distrital por incumplimiento de metas de Plan de Desarrollo, Pqrs y manifestaciones de inconformidad a través de distintos medios que derivan en la perdida de credibilidad en el Instituto, debido a que no se cuente con las aprobaciones de las entidades correspondientes con relación a permisos ambientales que inviabilicen los predios con potencial de desarrollo de proyectos de vivienda VIP y/o VIS asignados.</v>
      </c>
      <c r="C15" s="177" t="str">
        <f>'2. MATRIZ DE RIESGOS'!J64</f>
        <v>Muy Baja</v>
      </c>
      <c r="D15" s="177" t="str">
        <f>'2. MATRIZ DE RIESGOS'!L64</f>
        <v>Mayor</v>
      </c>
      <c r="E15" s="176" t="str">
        <f t="shared" si="0"/>
        <v>Alto</v>
      </c>
      <c r="F15" s="178"/>
      <c r="G15" s="178"/>
      <c r="H15" s="178"/>
      <c r="I15" s="178"/>
      <c r="J15" s="178"/>
      <c r="K15" s="178"/>
      <c r="L15" s="178"/>
      <c r="M15" s="178"/>
      <c r="N15" s="178"/>
      <c r="R15" s="179" t="s">
        <v>508</v>
      </c>
      <c r="S15" s="163"/>
      <c r="T15" s="163"/>
      <c r="U15" s="163"/>
      <c r="V15" s="163"/>
      <c r="W15" s="163"/>
      <c r="X15" s="163"/>
      <c r="Y15" s="163"/>
      <c r="Z15" s="163"/>
      <c r="AA15" s="174"/>
      <c r="AB15" s="174"/>
      <c r="AC15" s="174"/>
      <c r="AD15" s="182"/>
      <c r="AE15" s="182"/>
      <c r="AF15" s="182"/>
      <c r="AG15" s="182"/>
      <c r="AH15" s="182"/>
      <c r="AI15" s="174"/>
      <c r="AJ15" s="174"/>
    </row>
    <row r="16" spans="1:36" ht="93" customHeight="1" x14ac:dyDescent="0.25">
      <c r="A16" s="175" t="str">
        <f>'2. MATRIZ DE RIESGOS'!A66</f>
        <v>GE19</v>
      </c>
      <c r="B16" s="176" t="str">
        <f>'2. MATRIZ DE RIESGOS'!G66</f>
        <v>Posibilidad de afectación reputacional del InstitutoPPor requerimientos de la administracion distrital o el Concejo Distrital frente al incumplimiento de los programas del PEHMED asociados a la renovación urbana o al desarrollo de vivienda en otros tipoS de tratamiento o localizaciones estratégicas. Lo anterior, debido a que el Instituto no sea delegado como operador urbano en los territorios de interés por parte de la Administración Distrital.</v>
      </c>
      <c r="C16" s="177" t="str">
        <f>'2. MATRIZ DE RIESGOS'!J66</f>
        <v>Muy Baja</v>
      </c>
      <c r="D16" s="177" t="str">
        <f>'2. MATRIZ DE RIESGOS'!L66</f>
        <v>Mayor</v>
      </c>
      <c r="E16" s="176" t="str">
        <f t="shared" si="0"/>
        <v>Alto</v>
      </c>
      <c r="F16" s="178"/>
      <c r="G16" s="178"/>
      <c r="H16" s="178"/>
      <c r="I16" s="178"/>
      <c r="J16" s="178"/>
      <c r="K16" s="178"/>
      <c r="L16" s="178"/>
      <c r="M16" s="178"/>
      <c r="N16" s="178"/>
      <c r="Q16" s="197"/>
      <c r="R16" s="183" t="s">
        <v>193</v>
      </c>
      <c r="S16" s="197"/>
      <c r="T16" s="197"/>
      <c r="U16" s="197"/>
      <c r="V16" s="197"/>
      <c r="W16" s="197"/>
      <c r="X16" s="197"/>
      <c r="Y16" s="197"/>
      <c r="Z16" s="197"/>
      <c r="AA16" s="174"/>
      <c r="AB16" s="174"/>
      <c r="AC16" s="198"/>
      <c r="AD16" s="198"/>
      <c r="AE16" s="198"/>
      <c r="AF16" s="198"/>
      <c r="AG16" s="198"/>
      <c r="AH16" s="198"/>
      <c r="AI16" s="174"/>
      <c r="AJ16" s="174"/>
    </row>
    <row r="17" spans="1:36" ht="93" customHeight="1" x14ac:dyDescent="0.25">
      <c r="A17" s="175" t="str">
        <f>'2. MATRIZ DE RIESGOS'!A68</f>
        <v>GE20</v>
      </c>
      <c r="B17" s="176" t="str">
        <f>'2. MATRIZ DE RIESGOS'!G68</f>
        <v>Posibilidad de afectación reputacional y económica del Instituto reflejada en  requerimientos de la administracion distrital o el Concejo Distrital frente al incumplimiento de los programas del PEHMED asociados a la renovación urbana e incumplimiento del convenio intradministrativo de delegación así como por no contar con otros ingresos derivados del decreto 893 de 2017 para realizar proyectos de vivienda en suelos de renovación urbana. Lo anterior, debido a que el Instituto no adapte su estructura interna para cumplir con los requisitos de operación organizacional para la ejecución de la funciones del Decreto 893 de 2017 o el que lo modifique, complemente o sustituya.</v>
      </c>
      <c r="C17" s="177" t="str">
        <f>'2. MATRIZ DE RIESGOS'!J68</f>
        <v>muy baja</v>
      </c>
      <c r="D17" s="177" t="str">
        <f>'2. MATRIZ DE RIESGOS'!L68</f>
        <v>Mayor</v>
      </c>
      <c r="E17" s="176" t="str">
        <f t="shared" si="0"/>
        <v>Alto</v>
      </c>
      <c r="F17" s="178"/>
      <c r="G17" s="178"/>
      <c r="H17" s="178"/>
      <c r="I17" s="178"/>
      <c r="J17" s="178"/>
      <c r="K17" s="178"/>
      <c r="L17" s="178"/>
      <c r="M17" s="178"/>
      <c r="N17" s="178"/>
      <c r="Q17" s="197"/>
      <c r="R17" s="187" t="s">
        <v>509</v>
      </c>
      <c r="Y17" s="197"/>
      <c r="Z17" s="197"/>
      <c r="AA17" s="174"/>
      <c r="AB17" s="174"/>
      <c r="AC17" s="174"/>
      <c r="AD17" s="182"/>
      <c r="AE17" s="182"/>
      <c r="AF17" s="182"/>
      <c r="AG17" s="182"/>
      <c r="AH17" s="182"/>
      <c r="AI17" s="174"/>
      <c r="AJ17" s="174"/>
    </row>
    <row r="18" spans="1:36" ht="93" customHeight="1" x14ac:dyDescent="0.25">
      <c r="A18" s="175" t="str">
        <f>'2. MATRIZ DE RIESGOS'!A71</f>
        <v>GE21</v>
      </c>
      <c r="B18" s="176" t="str">
        <f>'2. MATRIZ DE RIESGOS'!G71</f>
        <v>Posibilidad de afectación reputacional del Instituto, reflejada en requerimientos del Concejo Distrital, dependencias del conglomerado o comunidad, por el incumplimiento en los indicadores asociados a la gestión social y predial para la habilitación de suelo y desarrollo de proyectos de vivienda en áreas  de renovación urbana. Lo anterior, debido a que no haya voluntad para el desarrollo de la unidad de actuación por parte de los propietarios privados, por inadecuada aplicación de los instrumentos de gestión del suelo o que no hayan recursos para la adquisición del mismo.</v>
      </c>
      <c r="C18" s="177" t="str">
        <f>'2. MATRIZ DE RIESGOS'!J71</f>
        <v>Baja</v>
      </c>
      <c r="D18" s="177" t="str">
        <f>'2. MATRIZ DE RIESGOS'!L71</f>
        <v>Catastrófico</v>
      </c>
      <c r="E18" s="176" t="str">
        <f t="shared" si="0"/>
        <v>Extremo</v>
      </c>
      <c r="F18" s="178"/>
      <c r="G18" s="178"/>
      <c r="H18" s="178"/>
      <c r="I18" s="178"/>
      <c r="J18" s="178"/>
      <c r="K18" s="178"/>
      <c r="L18" s="178"/>
      <c r="M18" s="178"/>
      <c r="N18" s="178"/>
      <c r="O18" s="199"/>
      <c r="P18" s="199"/>
      <c r="Q18" s="197"/>
      <c r="Y18" s="197"/>
      <c r="Z18" s="197"/>
      <c r="AA18" s="174"/>
      <c r="AB18" s="174"/>
      <c r="AC18" s="174"/>
      <c r="AD18" s="182"/>
      <c r="AE18" s="182"/>
      <c r="AF18" s="182"/>
      <c r="AG18" s="182"/>
      <c r="AH18" s="182"/>
      <c r="AI18" s="174"/>
      <c r="AJ18" s="174"/>
    </row>
    <row r="19" spans="1:36" ht="93" customHeight="1" x14ac:dyDescent="0.25">
      <c r="A19" s="175" t="str">
        <f>'2. MATRIZ DE RIESGOS'!A75</f>
        <v>GE22</v>
      </c>
      <c r="B19" s="176" t="str">
        <f>'2. MATRIZ DE RIESGOS'!G75</f>
        <v>Posibilidad de afectación económica y reputacional del Instituto reflejada en la gestión de recursos adicionales para cumplir con los cierres financieros, asi como en requerimientos de la administración distrital, manifestaciones de inconformidad de la ciudadanía derivadas del incumplimiento de los compromisos adquiridos en el marco de la operación urbana y hallazgos de los entes de control. Lo anterior, debido a que no exista asignación de recursos para el modelo de financiación definido para el proyecto o que el proyecto estructurado no sea atractivo comercialmente para su apalancamiento, desarrollo y promoción por parte de otros actores.</v>
      </c>
      <c r="C19" s="177" t="str">
        <f>'2. MATRIZ DE RIESGOS'!J75</f>
        <v>Baja</v>
      </c>
      <c r="D19" s="177" t="str">
        <f>'2. MATRIZ DE RIESGOS'!L75</f>
        <v>Catastrófico</v>
      </c>
      <c r="E19" s="176" t="str">
        <f t="shared" si="0"/>
        <v>Extremo</v>
      </c>
      <c r="F19" s="178"/>
      <c r="G19" s="178"/>
      <c r="H19" s="178"/>
      <c r="I19" s="178"/>
      <c r="J19" s="178"/>
      <c r="K19" s="178"/>
      <c r="L19" s="178"/>
      <c r="M19" s="178"/>
      <c r="N19" s="178"/>
      <c r="O19" s="199"/>
      <c r="P19" s="199"/>
      <c r="Q19" s="200"/>
      <c r="Y19" s="197"/>
      <c r="Z19" s="197"/>
      <c r="AA19" s="174"/>
      <c r="AB19" s="195"/>
      <c r="AC19" s="195"/>
      <c r="AD19" s="195"/>
      <c r="AE19" s="195"/>
      <c r="AF19" s="195"/>
      <c r="AG19" s="195"/>
      <c r="AH19" s="182"/>
      <c r="AI19" s="174"/>
      <c r="AJ19" s="174"/>
    </row>
    <row r="20" spans="1:36" ht="93" customHeight="1" x14ac:dyDescent="0.25">
      <c r="A20" s="175" t="s">
        <v>611</v>
      </c>
      <c r="B20" s="176">
        <v>0</v>
      </c>
      <c r="C20" s="177" t="s">
        <v>326</v>
      </c>
      <c r="D20" s="177" t="s">
        <v>326</v>
      </c>
      <c r="E20" s="176" t="str">
        <f t="shared" si="0"/>
        <v/>
      </c>
      <c r="F20" s="178"/>
      <c r="G20" s="178"/>
      <c r="H20" s="178"/>
      <c r="I20" s="178"/>
      <c r="J20" s="178"/>
      <c r="K20" s="178"/>
      <c r="L20" s="178"/>
      <c r="M20" s="178"/>
      <c r="N20" s="178"/>
      <c r="O20" s="199"/>
      <c r="P20" s="199"/>
      <c r="AA20" s="174"/>
      <c r="AB20" s="201"/>
      <c r="AC20" s="201"/>
      <c r="AD20" s="201"/>
      <c r="AE20" s="201"/>
      <c r="AF20" s="201"/>
      <c r="AG20" s="201"/>
      <c r="AH20" s="182"/>
      <c r="AI20" s="174"/>
      <c r="AJ20" s="174"/>
    </row>
    <row r="21" spans="1:36" ht="93" customHeight="1" x14ac:dyDescent="0.25">
      <c r="A21" s="175" t="s">
        <v>612</v>
      </c>
      <c r="B21" s="176">
        <v>0</v>
      </c>
      <c r="C21" s="177" t="s">
        <v>326</v>
      </c>
      <c r="D21" s="177" t="s">
        <v>326</v>
      </c>
      <c r="E21" s="176" t="str">
        <f t="shared" si="0"/>
        <v/>
      </c>
      <c r="F21" s="178"/>
      <c r="G21" s="178"/>
      <c r="H21" s="178"/>
      <c r="I21" s="178"/>
      <c r="J21" s="178"/>
      <c r="K21" s="178"/>
      <c r="L21" s="178"/>
      <c r="M21" s="178"/>
      <c r="N21" s="178"/>
      <c r="O21" s="199"/>
      <c r="P21" s="199"/>
      <c r="AA21" s="174"/>
      <c r="AB21" s="195"/>
      <c r="AC21" s="195"/>
      <c r="AD21" s="195"/>
      <c r="AE21" s="195"/>
      <c r="AF21" s="195"/>
      <c r="AG21" s="195"/>
      <c r="AH21" s="182"/>
      <c r="AI21" s="174"/>
      <c r="AJ21" s="174"/>
    </row>
    <row r="22" spans="1:36" ht="93" customHeight="1" x14ac:dyDescent="0.25">
      <c r="A22" s="175" t="s">
        <v>613</v>
      </c>
      <c r="B22" s="176">
        <v>0</v>
      </c>
      <c r="C22" s="177" t="s">
        <v>326</v>
      </c>
      <c r="D22" s="177" t="s">
        <v>326</v>
      </c>
      <c r="E22" s="176" t="str">
        <f t="shared" si="0"/>
        <v/>
      </c>
      <c r="F22" s="178"/>
      <c r="G22" s="178"/>
      <c r="H22" s="178"/>
      <c r="I22" s="178"/>
      <c r="J22" s="178"/>
      <c r="K22" s="178"/>
      <c r="L22" s="178"/>
      <c r="M22" s="178"/>
      <c r="N22" s="178"/>
      <c r="AA22" s="174"/>
      <c r="AB22" s="195"/>
      <c r="AC22" s="195"/>
      <c r="AD22" s="195"/>
      <c r="AE22" s="195"/>
      <c r="AF22" s="195"/>
      <c r="AG22" s="195"/>
      <c r="AH22" s="182"/>
      <c r="AI22" s="174"/>
      <c r="AJ22" s="174"/>
    </row>
    <row r="23" spans="1:36" ht="93" customHeight="1" x14ac:dyDescent="0.3">
      <c r="A23" s="175" t="s">
        <v>614</v>
      </c>
      <c r="B23" s="176">
        <v>0</v>
      </c>
      <c r="C23" s="177" t="s">
        <v>326</v>
      </c>
      <c r="D23" s="177" t="s">
        <v>326</v>
      </c>
      <c r="E23" s="176" t="str">
        <f t="shared" si="0"/>
        <v/>
      </c>
      <c r="F23" s="178"/>
      <c r="G23" s="178"/>
      <c r="H23" s="178"/>
      <c r="I23" s="178"/>
      <c r="J23" s="178"/>
      <c r="K23" s="178"/>
      <c r="L23" s="178"/>
      <c r="M23" s="178"/>
      <c r="N23" s="178"/>
    </row>
    <row r="24" spans="1:36" ht="93" customHeight="1" x14ac:dyDescent="0.3">
      <c r="A24" s="175" t="s">
        <v>615</v>
      </c>
      <c r="B24" s="176">
        <v>0</v>
      </c>
      <c r="C24" s="177" t="s">
        <v>326</v>
      </c>
      <c r="D24" s="177" t="s">
        <v>326</v>
      </c>
      <c r="E24" s="176" t="str">
        <f t="shared" si="0"/>
        <v/>
      </c>
      <c r="F24" s="178"/>
      <c r="G24" s="178"/>
      <c r="H24" s="178"/>
      <c r="I24" s="178"/>
      <c r="J24" s="178"/>
      <c r="K24" s="178"/>
      <c r="L24" s="178"/>
      <c r="M24" s="178"/>
      <c r="N24" s="178"/>
    </row>
    <row r="25" spans="1:36" ht="93" customHeight="1" x14ac:dyDescent="0.3">
      <c r="A25" s="175" t="s">
        <v>616</v>
      </c>
      <c r="B25" s="176">
        <v>0</v>
      </c>
      <c r="C25" s="177" t="s">
        <v>326</v>
      </c>
      <c r="D25" s="177" t="s">
        <v>326</v>
      </c>
      <c r="E25" s="176" t="str">
        <f t="shared" si="0"/>
        <v/>
      </c>
      <c r="F25" s="178"/>
      <c r="G25" s="178"/>
      <c r="H25" s="178"/>
      <c r="I25" s="178"/>
      <c r="J25" s="178"/>
      <c r="K25" s="178"/>
      <c r="L25" s="178"/>
      <c r="M25" s="178"/>
      <c r="N25" s="178"/>
    </row>
    <row r="26" spans="1:36" ht="93" customHeight="1" x14ac:dyDescent="0.3">
      <c r="A26" s="175" t="s">
        <v>617</v>
      </c>
      <c r="B26" s="176">
        <v>0</v>
      </c>
      <c r="C26" s="177" t="s">
        <v>326</v>
      </c>
      <c r="D26" s="177" t="s">
        <v>326</v>
      </c>
      <c r="E26" s="176" t="str">
        <f t="shared" si="0"/>
        <v/>
      </c>
      <c r="F26" s="178"/>
      <c r="G26" s="178"/>
      <c r="H26" s="178"/>
      <c r="I26" s="178"/>
      <c r="J26" s="178"/>
      <c r="K26" s="178"/>
      <c r="L26" s="178"/>
      <c r="M26" s="178"/>
      <c r="N26" s="178"/>
    </row>
    <row r="27" spans="1:36" ht="14.55" customHeight="1" x14ac:dyDescent="0.3">
      <c r="B27" s="160"/>
      <c r="D27" s="160"/>
      <c r="E27" s="160"/>
      <c r="F27" s="160"/>
      <c r="G27" s="160"/>
      <c r="H27" s="160"/>
      <c r="I27" s="160"/>
      <c r="J27" s="160"/>
      <c r="K27" s="160"/>
      <c r="L27" s="160"/>
      <c r="M27" s="160"/>
      <c r="N27" s="160"/>
      <c r="Y27" s="164"/>
      <c r="Z27" s="164"/>
      <c r="AA27" s="164"/>
      <c r="AB27" s="164"/>
      <c r="AC27" s="164"/>
      <c r="AD27" s="160"/>
      <c r="AE27" s="160"/>
      <c r="AF27" s="160"/>
      <c r="AG27" s="160"/>
      <c r="AH27" s="160"/>
    </row>
    <row r="28" spans="1:36" ht="39" customHeight="1" x14ac:dyDescent="0.3">
      <c r="B28" s="160"/>
      <c r="D28" s="160"/>
      <c r="E28" s="160"/>
      <c r="F28" s="160"/>
      <c r="G28" s="160"/>
      <c r="H28" s="160"/>
      <c r="I28" s="160"/>
      <c r="J28" s="160"/>
      <c r="K28" s="160"/>
      <c r="L28" s="160"/>
      <c r="M28" s="160"/>
      <c r="N28" s="160"/>
      <c r="Y28" s="164"/>
      <c r="Z28" s="164"/>
      <c r="AA28" s="164"/>
      <c r="AB28" s="164"/>
      <c r="AC28" s="164"/>
      <c r="AD28" s="160"/>
      <c r="AE28" s="160"/>
      <c r="AF28" s="160"/>
      <c r="AG28" s="160"/>
      <c r="AH28" s="160"/>
    </row>
    <row r="29" spans="1:36" ht="19.5" customHeight="1" x14ac:dyDescent="0.3">
      <c r="B29" s="160"/>
      <c r="D29" s="160"/>
      <c r="E29" s="160"/>
      <c r="F29" s="160"/>
      <c r="G29" s="160"/>
      <c r="H29" s="160"/>
      <c r="I29" s="160"/>
      <c r="J29" s="160"/>
      <c r="K29" s="160"/>
      <c r="L29" s="160"/>
      <c r="M29" s="160"/>
      <c r="N29" s="160"/>
      <c r="Y29" s="164"/>
      <c r="Z29" s="164"/>
      <c r="AA29" s="164"/>
      <c r="AB29" s="164"/>
      <c r="AC29" s="164"/>
      <c r="AD29" s="160"/>
      <c r="AE29" s="160"/>
      <c r="AF29" s="160"/>
      <c r="AG29" s="160"/>
      <c r="AH29" s="160"/>
    </row>
    <row r="30" spans="1:36" ht="19.5" customHeight="1" x14ac:dyDescent="0.3">
      <c r="B30" s="160"/>
      <c r="D30" s="160"/>
      <c r="E30" s="160"/>
      <c r="F30" s="160"/>
      <c r="G30" s="160"/>
      <c r="H30" s="160"/>
      <c r="I30" s="160"/>
      <c r="J30" s="160"/>
      <c r="K30" s="160"/>
      <c r="L30" s="160"/>
      <c r="M30" s="160"/>
      <c r="N30" s="160"/>
      <c r="Y30" s="164"/>
      <c r="Z30" s="164"/>
      <c r="AA30" s="164"/>
      <c r="AB30" s="164"/>
      <c r="AC30" s="164"/>
      <c r="AD30" s="160"/>
      <c r="AE30" s="160"/>
      <c r="AF30" s="160"/>
      <c r="AG30" s="160"/>
      <c r="AH30" s="160"/>
    </row>
    <row r="31" spans="1:36" ht="19.5" customHeight="1" x14ac:dyDescent="0.3">
      <c r="B31" s="160"/>
      <c r="D31" s="160"/>
      <c r="E31" s="160"/>
      <c r="F31" s="160"/>
      <c r="G31" s="160"/>
      <c r="H31" s="160"/>
      <c r="I31" s="160"/>
      <c r="J31" s="160"/>
      <c r="K31" s="160"/>
      <c r="L31" s="160"/>
      <c r="M31" s="160"/>
      <c r="N31" s="160"/>
      <c r="Y31" s="164"/>
      <c r="Z31" s="164"/>
      <c r="AA31" s="164"/>
      <c r="AB31" s="164"/>
      <c r="AC31" s="164"/>
      <c r="AD31" s="160"/>
      <c r="AE31" s="160"/>
      <c r="AF31" s="160"/>
      <c r="AG31" s="160"/>
      <c r="AH31" s="160"/>
    </row>
    <row r="32" spans="1:36" ht="19.5" customHeight="1" x14ac:dyDescent="0.3">
      <c r="B32" s="160"/>
      <c r="D32" s="160"/>
      <c r="E32" s="160"/>
      <c r="F32" s="160"/>
      <c r="G32" s="160"/>
      <c r="H32" s="160"/>
      <c r="I32" s="160"/>
      <c r="J32" s="160"/>
      <c r="K32" s="160"/>
      <c r="L32" s="160"/>
      <c r="M32" s="160"/>
      <c r="N32" s="160"/>
      <c r="Y32" s="164"/>
      <c r="Z32" s="164"/>
      <c r="AA32" s="164"/>
      <c r="AB32" s="164"/>
      <c r="AC32" s="164"/>
      <c r="AD32" s="160"/>
      <c r="AE32" s="160"/>
      <c r="AF32" s="160"/>
      <c r="AG32" s="160"/>
      <c r="AH32" s="160"/>
    </row>
    <row r="33" spans="25:29" s="160" customFormat="1" ht="19.5" customHeight="1" x14ac:dyDescent="0.3">
      <c r="Y33" s="164"/>
      <c r="Z33" s="164"/>
      <c r="AA33" s="164"/>
      <c r="AB33" s="164"/>
      <c r="AC33" s="164"/>
    </row>
  </sheetData>
  <sheetProtection formatCells="0" formatColumns="0" formatRows="0" sort="0" autoFilter="0" pivotTables="0"/>
  <dataConsolidate/>
  <mergeCells count="8">
    <mergeCell ref="R4:V4"/>
    <mergeCell ref="C5:E5"/>
    <mergeCell ref="I5:M5"/>
    <mergeCell ref="G7:G11"/>
    <mergeCell ref="O7:O11"/>
    <mergeCell ref="A1:D1"/>
    <mergeCell ref="B3:D3"/>
    <mergeCell ref="G4:M4"/>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F23B8789-3A28-4FF0-80C8-B2811A2E883B}"/>
    <dataValidation allowBlank="1" showInputMessage="1" showErrorMessage="1" prompt="La probabilidad se encuentra determinada por una escala de 1 a 3, siendo 1 la menor probabilidad de ocurrencia del riesgo y 3 la mayor probabilidad de  ocurrencia." sqref="JA6" xr:uid="{0BBAFC02-B5FF-44F6-89EF-D3D268B3E445}"/>
    <dataValidation type="list" allowBlank="1" showInputMessage="1" showErrorMessage="1" sqref="JB7:JH14" xr:uid="{831E1B22-D280-4CE9-8DD0-EF8136CE53FE}">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D13F-A6DF-4EFC-9546-6118B981E62B}">
  <dimension ref="A1:XFC36"/>
  <sheetViews>
    <sheetView showGridLines="0" topLeftCell="A8" zoomScale="85" zoomScaleNormal="85" workbookViewId="0">
      <selection activeCell="A20" sqref="A20"/>
    </sheetView>
  </sheetViews>
  <sheetFormatPr baseColWidth="10" defaultColWidth="14.44140625" defaultRowHeight="13.2" customHeight="1" zeroHeight="1" x14ac:dyDescent="0.3"/>
  <cols>
    <col min="1" max="1" width="16.109375" style="160" customWidth="1"/>
    <col min="2" max="2" width="40.6640625" style="164" customWidth="1"/>
    <col min="3" max="3" width="13.44140625" style="164" customWidth="1"/>
    <col min="4" max="4" width="13" style="164" customWidth="1"/>
    <col min="5" max="5" width="16.44140625" style="210" customWidth="1"/>
    <col min="6" max="6" width="11.109375" style="210" customWidth="1"/>
    <col min="7" max="7" width="15.44140625" style="164" customWidth="1"/>
    <col min="8" max="8" width="10.109375" style="164" bestFit="1" customWidth="1"/>
    <col min="9" max="9" width="7.44140625" style="164" customWidth="1"/>
    <col min="10" max="10" width="14" style="164" customWidth="1"/>
    <col min="11" max="15" width="12.44140625" style="164" customWidth="1"/>
    <col min="16" max="16" width="3.77734375" style="164" customWidth="1"/>
    <col min="17" max="17" width="4.77734375" style="160" hidden="1" customWidth="1"/>
    <col min="18" max="18" width="5.77734375" style="160" hidden="1" customWidth="1"/>
    <col min="19" max="24" width="14" style="160" hidden="1" customWidth="1"/>
    <col min="25" max="25" width="11.44140625" style="160" customWidth="1"/>
    <col min="26" max="29" width="11.44140625" style="160" hidden="1" customWidth="1"/>
    <col min="30" max="30" width="5.44140625" style="160" hidden="1" customWidth="1"/>
    <col min="31" max="31" width="26.77734375" style="160" hidden="1" customWidth="1"/>
    <col min="32" max="36" width="22.77734375" style="164" hidden="1" customWidth="1"/>
    <col min="37" max="37" width="23.44140625" style="160" hidden="1" customWidth="1"/>
    <col min="38" max="265" width="11.44140625" style="160" hidden="1" customWidth="1"/>
    <col min="266" max="266" width="12.44140625" style="160" hidden="1" customWidth="1"/>
    <col min="267" max="267" width="47" style="160" hidden="1" customWidth="1"/>
    <col min="268" max="268" width="35" style="160" hidden="1" customWidth="1"/>
    <col min="269" max="16383" width="14.44140625" style="160"/>
    <col min="16384" max="16384" width="14.44140625" style="160" hidden="1" customWidth="1"/>
  </cols>
  <sheetData>
    <row r="1" spans="1:38" s="140" customFormat="1" ht="72" customHeight="1" x14ac:dyDescent="0.25">
      <c r="A1" s="409" t="s">
        <v>618</v>
      </c>
      <c r="B1" s="409"/>
      <c r="C1" s="409"/>
      <c r="D1" s="409"/>
      <c r="E1" s="202"/>
      <c r="G1" s="144"/>
      <c r="H1" s="145"/>
      <c r="I1" s="146"/>
      <c r="J1" s="147"/>
      <c r="K1" s="139"/>
      <c r="L1" s="139"/>
      <c r="M1" s="139"/>
      <c r="N1" s="139"/>
      <c r="O1" s="139"/>
      <c r="P1" s="134"/>
      <c r="AF1" s="141"/>
      <c r="AG1" s="141"/>
      <c r="AH1" s="141"/>
      <c r="AI1" s="141"/>
      <c r="AJ1" s="141"/>
    </row>
    <row r="2" spans="1:38" s="140" customFormat="1" x14ac:dyDescent="0.25">
      <c r="A2" s="142"/>
      <c r="B2" s="134"/>
      <c r="C2" s="203"/>
      <c r="D2" s="203"/>
      <c r="E2" s="202"/>
      <c r="F2" s="204"/>
      <c r="G2" s="204"/>
      <c r="H2" s="145"/>
      <c r="I2" s="146"/>
      <c r="J2" s="147"/>
      <c r="K2" s="139"/>
      <c r="L2" s="139"/>
      <c r="M2" s="139"/>
      <c r="N2" s="139"/>
      <c r="O2" s="139"/>
      <c r="P2" s="134"/>
      <c r="AF2" s="141"/>
      <c r="AG2" s="141"/>
      <c r="AH2" s="141"/>
      <c r="AI2" s="141"/>
      <c r="AJ2" s="141"/>
    </row>
    <row r="3" spans="1:38" s="140" customFormat="1" ht="30.6" thickBot="1" x14ac:dyDescent="0.55000000000000004">
      <c r="A3" s="148" t="s">
        <v>84</v>
      </c>
      <c r="B3" s="410" t="str">
        <f>'2. MATRIZ DE RIESGOS'!D6</f>
        <v>Gestión Estratégica</v>
      </c>
      <c r="C3" s="410"/>
      <c r="D3" s="410"/>
      <c r="E3" s="205"/>
      <c r="F3" s="206"/>
      <c r="K3" s="420"/>
      <c r="L3" s="420"/>
      <c r="M3" s="420"/>
      <c r="N3" s="420"/>
      <c r="O3" s="420"/>
      <c r="P3" s="420"/>
      <c r="Q3" s="420"/>
      <c r="R3" s="420"/>
      <c r="S3" s="420"/>
      <c r="T3" s="420"/>
      <c r="U3" s="420"/>
      <c r="V3" s="420"/>
      <c r="AF3" s="141"/>
      <c r="AG3" s="141"/>
      <c r="AH3" s="141"/>
      <c r="AI3" s="141"/>
      <c r="AJ3" s="141"/>
    </row>
    <row r="4" spans="1:38" s="140" customFormat="1" ht="13.8" hidden="1" thickBot="1" x14ac:dyDescent="0.3">
      <c r="D4" s="134"/>
      <c r="E4" s="143"/>
      <c r="F4" s="206"/>
      <c r="I4" s="411" t="s">
        <v>619</v>
      </c>
      <c r="J4" s="412"/>
      <c r="K4" s="412"/>
      <c r="L4" s="412"/>
      <c r="M4" s="412"/>
      <c r="N4" s="412"/>
      <c r="O4" s="413"/>
      <c r="R4" s="151"/>
      <c r="S4" s="152"/>
      <c r="T4" s="421" t="s">
        <v>507</v>
      </c>
      <c r="U4" s="422"/>
      <c r="V4" s="422"/>
      <c r="W4" s="422"/>
      <c r="X4" s="423"/>
      <c r="AF4" s="141"/>
      <c r="AG4" s="141"/>
      <c r="AH4" s="141"/>
      <c r="AI4" s="141"/>
      <c r="AJ4" s="141"/>
    </row>
    <row r="5" spans="1:38" x14ac:dyDescent="0.3">
      <c r="A5" s="207"/>
      <c r="B5" s="207"/>
      <c r="C5" s="156"/>
      <c r="D5" s="207"/>
      <c r="E5" s="416" t="s">
        <v>620</v>
      </c>
      <c r="F5" s="416"/>
      <c r="G5" s="416"/>
      <c r="H5" s="156"/>
      <c r="I5" s="157"/>
      <c r="J5" s="158"/>
      <c r="K5" s="414" t="s">
        <v>507</v>
      </c>
      <c r="L5" s="414"/>
      <c r="M5" s="414"/>
      <c r="N5" s="414"/>
      <c r="O5" s="415"/>
      <c r="P5" s="156"/>
      <c r="R5" s="159"/>
      <c r="T5" s="161">
        <v>0.2</v>
      </c>
      <c r="U5" s="161">
        <v>0.4</v>
      </c>
      <c r="V5" s="161">
        <v>0.6</v>
      </c>
      <c r="W5" s="161">
        <v>0.8</v>
      </c>
      <c r="X5" s="162">
        <v>1</v>
      </c>
      <c r="Y5" s="163"/>
      <c r="Z5" s="163"/>
      <c r="AA5" s="163"/>
      <c r="AB5" s="163"/>
      <c r="AC5" s="163"/>
      <c r="AD5" s="163"/>
      <c r="AE5" s="163"/>
    </row>
    <row r="6" spans="1:38" ht="40.049999999999997" customHeight="1" x14ac:dyDescent="0.25">
      <c r="A6" s="155" t="s">
        <v>621</v>
      </c>
      <c r="B6" s="155" t="s">
        <v>607</v>
      </c>
      <c r="C6" s="155" t="s">
        <v>119</v>
      </c>
      <c r="D6" s="155" t="s">
        <v>121</v>
      </c>
      <c r="E6" s="155" t="s">
        <v>195</v>
      </c>
      <c r="F6" s="155" t="s">
        <v>507</v>
      </c>
      <c r="G6" s="155" t="s">
        <v>622</v>
      </c>
      <c r="H6" s="156"/>
      <c r="I6" s="159"/>
      <c r="J6" s="168"/>
      <c r="K6" s="169" t="s">
        <v>523</v>
      </c>
      <c r="L6" s="169" t="s">
        <v>526</v>
      </c>
      <c r="M6" s="169" t="s">
        <v>193</v>
      </c>
      <c r="N6" s="169" t="s">
        <v>143</v>
      </c>
      <c r="O6" s="170" t="s">
        <v>240</v>
      </c>
      <c r="P6" s="156"/>
      <c r="R6" s="159"/>
      <c r="S6" s="171"/>
      <c r="T6" s="172" t="s">
        <v>523</v>
      </c>
      <c r="U6" s="172" t="s">
        <v>526</v>
      </c>
      <c r="V6" s="172" t="s">
        <v>193</v>
      </c>
      <c r="W6" s="172" t="s">
        <v>143</v>
      </c>
      <c r="X6" s="173" t="s">
        <v>240</v>
      </c>
      <c r="AA6" s="163"/>
      <c r="AB6" s="163"/>
      <c r="AC6" s="174"/>
      <c r="AD6" s="174"/>
      <c r="AE6" s="174"/>
      <c r="AF6" s="174"/>
      <c r="AG6" s="174"/>
      <c r="AH6" s="174"/>
      <c r="AI6" s="174"/>
      <c r="AJ6" s="174"/>
      <c r="AK6" s="174"/>
      <c r="AL6" s="174"/>
    </row>
    <row r="7" spans="1:38" ht="99" customHeight="1" x14ac:dyDescent="0.25">
      <c r="A7" s="175" t="str">
        <f>'2. MATRIZ DE RIESGOS'!A15</f>
        <v>GE29</v>
      </c>
      <c r="B7" s="176" t="str">
        <f>'2. MATRIZ DE RIESGOS'!G15</f>
        <v>Posiblidad de afectación reputacional y económica del Instituto, reflejada en requerimientos por parte del Distrito y el Concejo de Medellín derivados del incumplimiento de la meta del plan de desarrollo, hallazgos de entes de control, PQRSD y acciones legales por parte de la comunidad, mayores costos en los proyectos constructivos por incumplimiento de los tiempos de entrega, asi como mayor tiempo en los pagos de los hogares que hacen parte del programa de arrendamiento temporal. Lo anterior, debido a  que no sea posible gestionar la entrega material de la solución definitiva de vivienda a los hogares que esperan superar el deficit cuantitativo.</v>
      </c>
      <c r="C7" s="208">
        <f>'2. MATRIZ DE RIESGOS'!AE15</f>
        <v>2.0316635135999993E-3</v>
      </c>
      <c r="D7" s="177">
        <f>'2. MATRIZ DE RIESGOS'!AG15</f>
        <v>0.8</v>
      </c>
      <c r="E7" s="209" t="str">
        <f t="shared" ref="E7:E26" si="0">+IF(C7=0,"",IF(C7&lt;=$R$11,$S$11,IF(C7&lt;=$R$10,$S$10,IF(C7&lt;=$R$9,$S$9,IF(C7&lt;=$R$8,$S$8,IF(C7&lt;=$R$7,$S$7,""))))))</f>
        <v>Muy Baja</v>
      </c>
      <c r="F7" s="209" t="str">
        <f t="shared" ref="F7:F26" si="1">+IF(D7=0,"",IF(D7&lt;=$T$5,$T$6,IF(D7&lt;=$U$5,$U$6,IF(D7&lt;=$V$5,$V$6,IF(D7&lt;=$W$5,$W$6,IF(D7&lt;=$X$5,$X$6,""))))))</f>
        <v>Mayor</v>
      </c>
      <c r="G7" s="176" t="str">
        <f t="shared" ref="G7:G26" si="2">+IF(E7=$S$7,IF(F7=$T$6,$T$7,IF(F7=$U$6,$U$7,IF(F7=$V$6,$V$7,IF(F7=$W$6,$W$7,IF(F7=$X$6,$X$7))))),IF(E7=$S$8,IF(F7=$T$6,$T$8,IF(F7=$U$6,$U$8,IF(F7=$V$6,$V$8,IF(F7=$W$6,$W$8,IF(F7=$X$6,$X$8))))),IF(E7=$S$9,IF(F7=$T$6,$T$9,IF(F7=$U$6,$U$9,IF(F7=$V$6,$V$9,IF(F7=$W$6,$W$9,IF(F7=$X$6,$X$9))))),IF(E7=$S$10,IF(F7=$T$6,$T$10,IF(F7=$U$6,$U$10,IF(F7=$V$6,$V$10,IF(F7=$W$6,$W$10,IF(F7=$X$6,$X$10))))),IF(E7=$S$11,IF(F7=$T$6,$T$11,IF(F7=$U$6,$U$11,IF(F7=$V$6,$V$11,IF(F7=$W$6,$W$11,IF(F7=$X$6,$X$11))))),"")))))</f>
        <v>Alto</v>
      </c>
      <c r="H7" s="178"/>
      <c r="I7" s="405" t="s">
        <v>195</v>
      </c>
      <c r="J7" s="169" t="s">
        <v>217</v>
      </c>
      <c r="K7" s="179"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79"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79"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79"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80"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78"/>
      <c r="Q7" s="417" t="s">
        <v>195</v>
      </c>
      <c r="R7" s="181">
        <v>1</v>
      </c>
      <c r="S7" s="172" t="s">
        <v>217</v>
      </c>
      <c r="T7" s="179" t="s">
        <v>508</v>
      </c>
      <c r="U7" s="179" t="s">
        <v>508</v>
      </c>
      <c r="V7" s="179" t="s">
        <v>508</v>
      </c>
      <c r="W7" s="179" t="s">
        <v>508</v>
      </c>
      <c r="X7" s="180" t="s">
        <v>315</v>
      </c>
      <c r="AA7" s="163"/>
      <c r="AB7" s="163"/>
      <c r="AC7" s="174"/>
      <c r="AD7" s="174"/>
      <c r="AE7" s="174"/>
      <c r="AF7" s="182"/>
      <c r="AG7" s="182"/>
      <c r="AH7" s="182"/>
      <c r="AI7" s="182"/>
      <c r="AJ7" s="182"/>
      <c r="AK7" s="174"/>
      <c r="AL7" s="174"/>
    </row>
    <row r="8" spans="1:38" ht="117" customHeight="1" x14ac:dyDescent="0.25">
      <c r="A8" s="175" t="str">
        <f>'2. MATRIZ DE RIESGOS'!A27</f>
        <v>GE17</v>
      </c>
      <c r="B8" s="176" t="str">
        <f>'2. MATRIZ DE RIESGOS'!G27</f>
        <v>Posibilidad de afectación reputacional del Instituto reflejada en  el incumplimiento del cargue de la información en plataforma de entes externos (DAP-SAP, DNP-PIIP), la dificultad para realizar seguimiento al desempeño institucional asi como para la toma de decisiones por parte de la Alta Dirección y hallazgos de los entes de control. Lo anterior, debido a Ia información institucional es reportada de manera inoportuna y/o con inconsistencias en el SMO Institucional y en plataformas externas.</v>
      </c>
      <c r="C8" s="208">
        <f>'2. MATRIZ DE RIESGOS'!AE27</f>
        <v>7.7759999999999996E-2</v>
      </c>
      <c r="D8" s="177">
        <f>'2. MATRIZ DE RIESGOS'!AG27</f>
        <v>0.44999999999999996</v>
      </c>
      <c r="E8" s="209" t="str">
        <f t="shared" si="0"/>
        <v>Muy Baja</v>
      </c>
      <c r="F8" s="209" t="str">
        <f t="shared" si="1"/>
        <v>Moderado</v>
      </c>
      <c r="G8" s="176" t="str">
        <f t="shared" si="2"/>
        <v>Moderado</v>
      </c>
      <c r="H8" s="178"/>
      <c r="I8" s="405"/>
      <c r="J8" s="169" t="s">
        <v>142</v>
      </c>
      <c r="K8" s="183"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83"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79"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79"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GE18                 </v>
      </c>
      <c r="O8" s="180"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78"/>
      <c r="Q8" s="418"/>
      <c r="R8" s="181">
        <v>0.8</v>
      </c>
      <c r="S8" s="172" t="s">
        <v>142</v>
      </c>
      <c r="T8" s="183" t="s">
        <v>193</v>
      </c>
      <c r="U8" s="183" t="s">
        <v>193</v>
      </c>
      <c r="V8" s="179" t="s">
        <v>508</v>
      </c>
      <c r="W8" s="179" t="s">
        <v>508</v>
      </c>
      <c r="X8" s="180" t="s">
        <v>315</v>
      </c>
      <c r="AA8" s="163"/>
      <c r="AB8" s="163"/>
      <c r="AC8" s="174"/>
      <c r="AD8" s="184"/>
      <c r="AE8" s="185"/>
      <c r="AF8" s="182"/>
      <c r="AG8" s="182"/>
      <c r="AH8" s="182"/>
      <c r="AI8" s="182"/>
      <c r="AJ8" s="182"/>
      <c r="AK8" s="174"/>
      <c r="AL8" s="174"/>
    </row>
    <row r="9" spans="1:38" ht="102" customHeight="1" x14ac:dyDescent="0.25">
      <c r="A9" s="175" t="str">
        <f>'2. MATRIZ DE RIESGOS'!A32</f>
        <v>GE18</v>
      </c>
      <c r="B9" s="176" t="str">
        <f>'2. MATRIZ DE RIESGOS'!G32</f>
        <v>Posiblidad de afectación economica y reputacional de la Entidad reflejada en costos adicionales relacionados con el diseño y construcción de vivienda que no se orienta a las características de la población objetivo asi como en la inconformidad de actores y grupos de interes derivada de la ausencia de información confiable y simétrica para la toma desiciones basadas en datos e información. Lo anterior, debido a que los registros administrativos relacionados con la misionalidad del Instituto tienen deficiencias en variables poblacionales, de identificación de la población y georeferenciación, asi como en la consolidación automatizada de la información.</v>
      </c>
      <c r="C9" s="208">
        <f>'2. MATRIZ DE RIESGOS'!AE32</f>
        <v>0.7</v>
      </c>
      <c r="D9" s="177">
        <f>'2. MATRIZ DE RIESGOS'!AG32</f>
        <v>0.8</v>
      </c>
      <c r="E9" s="209" t="str">
        <f t="shared" si="0"/>
        <v>Alta</v>
      </c>
      <c r="F9" s="209" t="str">
        <f t="shared" si="1"/>
        <v>Mayor</v>
      </c>
      <c r="G9" s="176" t="str">
        <f t="shared" si="2"/>
        <v>Alto</v>
      </c>
      <c r="H9" s="178"/>
      <c r="I9" s="405"/>
      <c r="J9" s="169" t="s">
        <v>192</v>
      </c>
      <c r="K9" s="183"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83"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83"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79"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80"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78"/>
      <c r="Q9" s="418"/>
      <c r="R9" s="181">
        <v>0.6</v>
      </c>
      <c r="S9" s="172" t="s">
        <v>192</v>
      </c>
      <c r="T9" s="183" t="s">
        <v>193</v>
      </c>
      <c r="U9" s="183" t="s">
        <v>193</v>
      </c>
      <c r="V9" s="183" t="s">
        <v>193</v>
      </c>
      <c r="W9" s="179" t="s">
        <v>508</v>
      </c>
      <c r="X9" s="180" t="s">
        <v>315</v>
      </c>
      <c r="AA9" s="163"/>
      <c r="AB9" s="163"/>
      <c r="AC9" s="174"/>
      <c r="AD9" s="184"/>
      <c r="AE9" s="185"/>
      <c r="AF9" s="182"/>
      <c r="AG9" s="182"/>
      <c r="AH9" s="182"/>
      <c r="AI9" s="182"/>
      <c r="AJ9" s="186"/>
      <c r="AK9" s="174"/>
      <c r="AL9" s="174"/>
    </row>
    <row r="10" spans="1:38" ht="118.8" customHeight="1" x14ac:dyDescent="0.25">
      <c r="A10" s="175" t="str">
        <f>'2. MATRIZ DE RIESGOS'!A35</f>
        <v>GE23</v>
      </c>
      <c r="B10" s="176" t="str">
        <f>'2. MATRIZ DE RIESGOS'!G35</f>
        <v>Posibilidad de afectación económica y reputacional del Instituto reflejada en la no asignación de recursos por parte del Distrito de Medellín, incumplimiento de las metas del plan de desarrollo distrital así como hallazgos de los entes de control. Lo anterior, debido a que los proyectos de inversión no cumplen con los estándares técnicos establecidos por el Banco de Proyectos del Distrito de medellín.</v>
      </c>
      <c r="C10" s="208">
        <f>'2. MATRIZ DE RIESGOS'!AE35</f>
        <v>3.1103999999999993E-2</v>
      </c>
      <c r="D10" s="177">
        <f>'2. MATRIZ DE RIESGOS'!AG35</f>
        <v>0.75</v>
      </c>
      <c r="E10" s="209" t="str">
        <f t="shared" si="0"/>
        <v>Muy Baja</v>
      </c>
      <c r="F10" s="209" t="str">
        <f t="shared" si="1"/>
        <v>Mayor</v>
      </c>
      <c r="G10" s="176" t="str">
        <f t="shared" si="2"/>
        <v>Alto</v>
      </c>
      <c r="H10" s="178"/>
      <c r="I10" s="405"/>
      <c r="J10" s="169" t="s">
        <v>239</v>
      </c>
      <c r="K10" s="187"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83"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83"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GE24 GE25      GE21        </v>
      </c>
      <c r="N10" s="179"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80"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78"/>
      <c r="Q10" s="418"/>
      <c r="R10" s="181">
        <v>0.4</v>
      </c>
      <c r="S10" s="172" t="s">
        <v>239</v>
      </c>
      <c r="T10" s="187" t="s">
        <v>509</v>
      </c>
      <c r="U10" s="183" t="s">
        <v>193</v>
      </c>
      <c r="V10" s="183" t="s">
        <v>193</v>
      </c>
      <c r="W10" s="179" t="s">
        <v>508</v>
      </c>
      <c r="X10" s="180" t="s">
        <v>315</v>
      </c>
      <c r="AA10" s="163"/>
      <c r="AB10" s="163"/>
      <c r="AC10" s="174"/>
      <c r="AD10" s="184"/>
      <c r="AE10" s="185"/>
      <c r="AF10" s="182"/>
      <c r="AG10" s="182"/>
      <c r="AH10" s="182"/>
      <c r="AI10" s="186"/>
      <c r="AJ10" s="182"/>
      <c r="AK10" s="174"/>
      <c r="AL10" s="174"/>
    </row>
    <row r="11" spans="1:38" ht="93" customHeight="1" thickBot="1" x14ac:dyDescent="0.3">
      <c r="A11" s="175" t="str">
        <f>'2. MATRIZ DE RIESGOS'!A41</f>
        <v>GE24</v>
      </c>
      <c r="B11" s="176" t="str">
        <f>'2. MATRIZ DE RIESGOS'!G41</f>
        <v>Posibilidad de afectación reputacional del Instituto, reflejada en requerimientos por parte del Distrito / Concejo Distrital por incumplimiento de la meta de Plan de Desarrollo, asi como por  hallazgos por parte de los entes de control, debido a que no sea posible acompañar socialmente a los inquilinatos en el marco de la Política Publica de Inquilnatos.</v>
      </c>
      <c r="C11" s="208">
        <f>'2. MATRIZ DE RIESGOS'!AE41</f>
        <v>0.36000000000000004</v>
      </c>
      <c r="D11" s="177">
        <f>'2. MATRIZ DE RIESGOS'!AG41</f>
        <v>0.45000000000000007</v>
      </c>
      <c r="E11" s="209" t="str">
        <f t="shared" si="0"/>
        <v>Baja</v>
      </c>
      <c r="F11" s="209" t="str">
        <f t="shared" si="1"/>
        <v>Moderado</v>
      </c>
      <c r="G11" s="176" t="str">
        <f t="shared" si="2"/>
        <v>Moderado</v>
      </c>
      <c r="H11" s="178"/>
      <c r="I11" s="406"/>
      <c r="J11" s="188" t="s">
        <v>319</v>
      </c>
      <c r="K11" s="189"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89"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90"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GE17     GE26  GE28    GE22       </v>
      </c>
      <c r="N11" s="191"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GE29   GE23    GE27  GE19 GE20         </v>
      </c>
      <c r="O11" s="192"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78"/>
      <c r="Q11" s="419"/>
      <c r="R11" s="193">
        <v>0.2</v>
      </c>
      <c r="S11" s="194" t="s">
        <v>319</v>
      </c>
      <c r="T11" s="189" t="s">
        <v>509</v>
      </c>
      <c r="U11" s="189" t="s">
        <v>509</v>
      </c>
      <c r="V11" s="190" t="s">
        <v>193</v>
      </c>
      <c r="W11" s="191" t="s">
        <v>508</v>
      </c>
      <c r="X11" s="192" t="s">
        <v>315</v>
      </c>
      <c r="AA11" s="163"/>
      <c r="AB11" s="163"/>
      <c r="AC11" s="174"/>
      <c r="AD11" s="184"/>
      <c r="AE11" s="185"/>
      <c r="AF11" s="182"/>
      <c r="AG11" s="182"/>
      <c r="AH11" s="182"/>
      <c r="AI11" s="195"/>
      <c r="AJ11" s="182"/>
      <c r="AK11" s="174"/>
      <c r="AL11" s="174"/>
    </row>
    <row r="12" spans="1:38" ht="93" customHeight="1" x14ac:dyDescent="0.25">
      <c r="A12" s="175" t="str">
        <f>'2. MATRIZ DE RIESGOS'!A45</f>
        <v>GE25</v>
      </c>
      <c r="B12" s="176" t="str">
        <f>'2. MATRIZ DE RIESGOS'!G45</f>
        <v>Posibilidad de afectación reputacional del Instituto reflejada en requerimientos del Concejo de Medellín y de los diferentes entes de control por deficiente implementación de la Política Pública para los inquilinatos, por incumplimiento de metas de Plan de Desarrollo relacionadas con la  Política Pública para los inquilinatos y así omo por PQRSD, manifestaciones de inconformidad por parte de los diferentes actores del contexto de inquilinatos a traves de diferentes espacios (medios comunicación, redes sociales, mesas de trabajo, recorridos de campo, etc), con respecto a solicitudes que no son correspondidas asi como en hallazgos de los entes de control; todo lo anterior debido a que las dependencias que hacen parte de la implmentación de la política Pública de Inquilinatos según normatividad vigente no se vinculen al Plan de Trabajo de la misma.</v>
      </c>
      <c r="C12" s="208">
        <f>'2. MATRIZ DE RIESGOS'!AE45</f>
        <v>0.24</v>
      </c>
      <c r="D12" s="177">
        <f>'2. MATRIZ DE RIESGOS'!AG45</f>
        <v>0.44999999999999996</v>
      </c>
      <c r="E12" s="209" t="str">
        <f t="shared" si="0"/>
        <v>Baja</v>
      </c>
      <c r="F12" s="209" t="str">
        <f t="shared" si="1"/>
        <v>Moderado</v>
      </c>
      <c r="G12" s="176" t="str">
        <f t="shared" si="2"/>
        <v>Moderado</v>
      </c>
      <c r="H12" s="178"/>
      <c r="I12" s="178"/>
      <c r="J12" s="178"/>
      <c r="K12" s="178"/>
      <c r="L12" s="178"/>
      <c r="M12" s="178"/>
      <c r="N12" s="178"/>
      <c r="O12" s="178"/>
      <c r="P12" s="178"/>
      <c r="AA12" s="163"/>
      <c r="AB12" s="163"/>
      <c r="AC12" s="174"/>
      <c r="AD12" s="184"/>
      <c r="AE12" s="185"/>
      <c r="AF12" s="182"/>
      <c r="AG12" s="182"/>
      <c r="AH12" s="182"/>
      <c r="AI12" s="182"/>
      <c r="AJ12" s="182"/>
      <c r="AK12" s="174"/>
      <c r="AL12" s="174"/>
    </row>
    <row r="13" spans="1:38" ht="93" customHeight="1" x14ac:dyDescent="0.25">
      <c r="A13" s="175" t="str">
        <f>'2. MATRIZ DE RIESGOS'!A53</f>
        <v>GE26</v>
      </c>
      <c r="B13" s="176" t="str">
        <f>'2. MATRIZ DE RIESGOS'!G53</f>
        <v>Posibilidad de afectación reputacional del Instituto por requerimientos del Concejo de Medellín y de los diferentes entes de control por deficiente implementación del Plan Estratégico Habitacional de Medellín PEHMED 20-30, al igual que por incumplimiento de metas de Plan de Desarrollo relacionadas con el Consejo Consultivo Distrital de la Política Habitacional, por PQRSD y manifestaciones de inconformidad por parte de los diferentes actores del contexto de vivienda y habitat a traves de diferentes espacios (medios comunicación, redes sociales, mesas de trabajo, recorridos de campo, etc), con respecto a solicitudes que no son correspondidas. y que esto derive hallazgos por parte de los entes de control. Lo anterior, debido a que no sea posible realizar las sesiones del Consejo Consultivo de acuerdo con con la meta del Plan de Desarrollo Distrital vigente.</v>
      </c>
      <c r="C13" s="208">
        <f>'2. MATRIZ DE RIESGOS'!AE53</f>
        <v>0.14399999999999999</v>
      </c>
      <c r="D13" s="177">
        <f>'2. MATRIZ DE RIESGOS'!AG53</f>
        <v>0.6</v>
      </c>
      <c r="E13" s="209" t="str">
        <f t="shared" si="0"/>
        <v>Muy Baja</v>
      </c>
      <c r="F13" s="209" t="str">
        <f t="shared" si="1"/>
        <v>Moderado</v>
      </c>
      <c r="G13" s="176" t="str">
        <f t="shared" si="2"/>
        <v>Moderado</v>
      </c>
      <c r="H13" s="178"/>
      <c r="I13" s="178"/>
      <c r="J13" s="155" t="s">
        <v>610</v>
      </c>
      <c r="K13" s="178"/>
      <c r="L13" s="178"/>
      <c r="M13" s="178"/>
      <c r="N13" s="178"/>
      <c r="O13" s="178"/>
      <c r="P13" s="178"/>
      <c r="V13" s="163"/>
      <c r="W13" s="163"/>
      <c r="X13" s="163"/>
      <c r="Y13" s="163"/>
      <c r="Z13" s="163"/>
      <c r="AA13" s="163"/>
      <c r="AB13" s="163"/>
      <c r="AC13" s="174"/>
      <c r="AD13" s="184"/>
      <c r="AE13" s="174"/>
      <c r="AF13" s="185"/>
      <c r="AG13" s="185"/>
      <c r="AH13" s="185"/>
      <c r="AI13" s="185"/>
      <c r="AJ13" s="185"/>
      <c r="AK13" s="174"/>
      <c r="AL13" s="174"/>
    </row>
    <row r="14" spans="1:38" ht="166.8" customHeight="1" x14ac:dyDescent="0.25">
      <c r="A14" s="175" t="str">
        <f>'2. MATRIZ DE RIESGOS'!A55</f>
        <v>GE27</v>
      </c>
      <c r="B14" s="176" t="str">
        <f>'2. MATRIZ DE RIESGOS'!G55</f>
        <v>Posibilidad de afectación reputacional y económica del Instituto reflejada en requerimientos por parte del Distrito / Concejo Distrital por incumplimiento de metas de Plan de Desarrollo, hallazgos por parte de los entes de control, pqrs y manifestaciones de inconformidad a través de distintos medios que derivan en la perdida de credibilidad en el Instituto, así como posible pérdida de recursos ocasionada por dar continuidad a etapas de la prefactibilidad y estructuración, con resultados que indican que el proyecto no es viable. Lo anterior, debido a que desde el estudio de viabilidad preliminar hasta finalizar la etapa de estructuración, se inviabilicen los predios con potencial de desarrollo de proyectos de vivienda VIP y/o VIS asignados.</v>
      </c>
      <c r="C14" s="208">
        <f>'2. MATRIZ DE RIESGOS'!AE55</f>
        <v>1.0668671999999997E-2</v>
      </c>
      <c r="D14" s="177">
        <f>'2. MATRIZ DE RIESGOS'!AG55</f>
        <v>0.8</v>
      </c>
      <c r="E14" s="209" t="str">
        <f t="shared" si="0"/>
        <v>Muy Baja</v>
      </c>
      <c r="F14" s="209" t="str">
        <f t="shared" si="1"/>
        <v>Mayor</v>
      </c>
      <c r="G14" s="176" t="str">
        <f t="shared" si="2"/>
        <v>Alto</v>
      </c>
      <c r="H14" s="178"/>
      <c r="I14" s="178"/>
      <c r="J14" s="196" t="s">
        <v>315</v>
      </c>
      <c r="K14" s="178"/>
      <c r="L14" s="178"/>
      <c r="M14" s="178"/>
      <c r="N14" s="178"/>
      <c r="O14" s="178"/>
      <c r="P14" s="178"/>
      <c r="V14" s="163"/>
      <c r="W14" s="163"/>
      <c r="X14" s="163"/>
      <c r="Y14" s="163"/>
      <c r="Z14" s="163"/>
      <c r="AA14" s="163"/>
      <c r="AB14" s="163"/>
      <c r="AC14" s="174"/>
      <c r="AD14" s="174"/>
      <c r="AE14" s="174"/>
      <c r="AF14" s="182"/>
      <c r="AG14" s="182"/>
      <c r="AH14" s="182"/>
      <c r="AI14" s="182"/>
      <c r="AJ14" s="182"/>
      <c r="AK14" s="174"/>
      <c r="AL14" s="174"/>
    </row>
    <row r="15" spans="1:38" ht="93" customHeight="1" x14ac:dyDescent="0.25">
      <c r="A15" s="175" t="str">
        <f>'2. MATRIZ DE RIESGOS'!A64</f>
        <v>GE28</v>
      </c>
      <c r="B15" s="176" t="str">
        <f>'2. MATRIZ DE RIESGOS'!G64</f>
        <v>Posibilidad de afectación reputaciona reflejada en requerimientos por parte del Distrito / Concejo Distrital por incumplimiento de metas de Plan de Desarrollo, Pqrs y manifestaciones de inconformidad a través de distintos medios que derivan en la perdida de credibilidad en el Instituto, debido a que no se cuente con las aprobaciones de las entidades correspondientes con relación a permisos ambientales que inviabilicen los predios con potencial de desarrollo de proyectos de vivienda VIP y/o VIS asignados.</v>
      </c>
      <c r="C15" s="208">
        <f>'2. MATRIZ DE RIESGOS'!AE64</f>
        <v>0.12</v>
      </c>
      <c r="D15" s="177">
        <f>'2. MATRIZ DE RIESGOS'!AG64</f>
        <v>0.60000000000000009</v>
      </c>
      <c r="E15" s="209" t="str">
        <f t="shared" si="0"/>
        <v>Muy Baja</v>
      </c>
      <c r="F15" s="209" t="str">
        <f t="shared" si="1"/>
        <v>Moderado</v>
      </c>
      <c r="G15" s="176" t="str">
        <f t="shared" si="2"/>
        <v>Moderado</v>
      </c>
      <c r="H15" s="178"/>
      <c r="I15" s="178"/>
      <c r="J15" s="179" t="s">
        <v>508</v>
      </c>
      <c r="K15" s="178"/>
      <c r="L15" s="178"/>
      <c r="M15" s="178"/>
      <c r="N15" s="178"/>
      <c r="O15" s="178"/>
      <c r="P15" s="178"/>
      <c r="U15" s="163"/>
      <c r="V15" s="163"/>
      <c r="W15" s="163"/>
      <c r="X15" s="163"/>
      <c r="Y15" s="163"/>
      <c r="Z15" s="163"/>
      <c r="AA15" s="163"/>
      <c r="AB15" s="163"/>
      <c r="AC15" s="174"/>
      <c r="AD15" s="174"/>
      <c r="AE15" s="174"/>
      <c r="AF15" s="182"/>
      <c r="AG15" s="182"/>
      <c r="AH15" s="182"/>
      <c r="AI15" s="182"/>
      <c r="AJ15" s="182"/>
      <c r="AK15" s="174"/>
      <c r="AL15" s="174"/>
    </row>
    <row r="16" spans="1:38" ht="93" customHeight="1" x14ac:dyDescent="0.25">
      <c r="A16" s="175" t="str">
        <f>'2. MATRIZ DE RIESGOS'!A66</f>
        <v>GE19</v>
      </c>
      <c r="B16" s="176" t="str">
        <f>'2. MATRIZ DE RIESGOS'!G66</f>
        <v>Posibilidad de afectación reputacional del InstitutoPPor requerimientos de la administracion distrital o el Concejo Distrital frente al incumplimiento de los programas del PEHMED asociados a la renovación urbana o al desarrollo de vivienda en otros tipoS de tratamiento o localizaciones estratégicas. Lo anterior, debido a que el Instituto no sea delegado como operador urbano en los territorios de interés por parte de la Administración Distrital.</v>
      </c>
      <c r="C16" s="208">
        <f>'2. MATRIZ DE RIESGOS'!AE66</f>
        <v>7.1999999999999995E-2</v>
      </c>
      <c r="D16" s="177">
        <f>'2. MATRIZ DE RIESGOS'!AG66</f>
        <v>0.8</v>
      </c>
      <c r="E16" s="209" t="str">
        <f t="shared" si="0"/>
        <v>Muy Baja</v>
      </c>
      <c r="F16" s="209" t="str">
        <f t="shared" si="1"/>
        <v>Mayor</v>
      </c>
      <c r="G16" s="176" t="str">
        <f t="shared" si="2"/>
        <v>Alto</v>
      </c>
      <c r="H16" s="178"/>
      <c r="I16" s="178"/>
      <c r="J16" s="183" t="s">
        <v>193</v>
      </c>
      <c r="K16" s="178"/>
      <c r="L16" s="178"/>
      <c r="M16" s="178"/>
      <c r="N16" s="178"/>
      <c r="O16" s="178"/>
      <c r="P16" s="178"/>
      <c r="S16" s="197"/>
      <c r="U16" s="197"/>
      <c r="V16" s="197"/>
      <c r="W16" s="197"/>
      <c r="X16" s="197"/>
      <c r="Y16" s="197"/>
      <c r="Z16" s="197"/>
      <c r="AA16" s="197"/>
      <c r="AB16" s="197"/>
      <c r="AC16" s="174"/>
      <c r="AD16" s="174"/>
      <c r="AE16" s="198"/>
      <c r="AF16" s="198"/>
      <c r="AG16" s="198"/>
      <c r="AH16" s="198"/>
      <c r="AI16" s="198"/>
      <c r="AJ16" s="198"/>
      <c r="AK16" s="174"/>
      <c r="AL16" s="174"/>
    </row>
    <row r="17" spans="1:38" ht="93" customHeight="1" x14ac:dyDescent="0.25">
      <c r="A17" s="175" t="str">
        <f>'2. MATRIZ DE RIESGOS'!A68</f>
        <v>GE20</v>
      </c>
      <c r="B17" s="176" t="str">
        <f>'2. MATRIZ DE RIESGOS'!G68</f>
        <v>Posibilidad de afectación reputacional y económica del Instituto reflejada en  requerimientos de la administracion distrital o el Concejo Distrital frente al incumplimiento de los programas del PEHMED asociados a la renovación urbana e incumplimiento del convenio intradministrativo de delegación así como por no contar con otros ingresos derivados del decreto 893 de 2017 para realizar proyectos de vivienda en suelos de renovación urbana. Lo anterior, debido a que el Instituto no adapte su estructura interna para cumplir con los requisitos de operación organizacional para la ejecución de la funciones del Decreto 893 de 2017 o el que lo modifique, complemente o sustituya.</v>
      </c>
      <c r="C17" s="208">
        <f>'2. MATRIZ DE RIESGOS'!AE68</f>
        <v>4.3199999999999995E-2</v>
      </c>
      <c r="D17" s="177">
        <f>'2. MATRIZ DE RIESGOS'!AG68</f>
        <v>0.8</v>
      </c>
      <c r="E17" s="209" t="str">
        <f t="shared" si="0"/>
        <v>Muy Baja</v>
      </c>
      <c r="F17" s="209" t="str">
        <f t="shared" si="1"/>
        <v>Mayor</v>
      </c>
      <c r="G17" s="176" t="str">
        <f t="shared" si="2"/>
        <v>Alto</v>
      </c>
      <c r="H17" s="178"/>
      <c r="I17" s="178"/>
      <c r="J17" s="187" t="s">
        <v>509</v>
      </c>
      <c r="K17" s="178"/>
      <c r="L17" s="178"/>
      <c r="M17" s="178"/>
      <c r="N17" s="178"/>
      <c r="O17" s="178"/>
      <c r="P17" s="178"/>
      <c r="S17" s="197"/>
      <c r="AA17" s="197"/>
      <c r="AB17" s="197"/>
      <c r="AC17" s="174"/>
      <c r="AD17" s="174"/>
      <c r="AE17" s="174"/>
      <c r="AF17" s="182"/>
      <c r="AG17" s="182"/>
      <c r="AH17" s="182"/>
      <c r="AI17" s="182"/>
      <c r="AJ17" s="182"/>
      <c r="AK17" s="174"/>
      <c r="AL17" s="174"/>
    </row>
    <row r="18" spans="1:38" ht="93" customHeight="1" x14ac:dyDescent="0.25">
      <c r="A18" s="175" t="str">
        <f>'2. MATRIZ DE RIESGOS'!A71</f>
        <v>GE21</v>
      </c>
      <c r="B18" s="176" t="str">
        <f>'2. MATRIZ DE RIESGOS'!G71</f>
        <v>Posibilidad de afectación reputacional del Instituto, reflejada en requerimientos del Concejo Distrital, dependencias del conglomerado o comunidad, por el incumplimiento en los indicadores asociados a la gestión social y predial para la habilitación de suelo y desarrollo de proyectos de vivienda en áreas  de renovación urbana. Lo anterior, debido a que no haya voluntad para el desarrollo de la unidad de actuación por parte de los propietarios privados, por inadecuada aplicación de los instrumentos de gestión del suelo o que no hayan recursos para la adquisición del mismo.</v>
      </c>
      <c r="C18" s="208">
        <f>'2. MATRIZ DE RIESGOS'!AE71</f>
        <v>0.24</v>
      </c>
      <c r="D18" s="177">
        <f>'2. MATRIZ DE RIESGOS'!AG71</f>
        <v>0.421875</v>
      </c>
      <c r="E18" s="209" t="str">
        <f>+IF(C18=0,"",IF(C18&lt;=$R$11,$S$11,IF(C18&lt;=$R$10,$S$10,IF(C18&lt;=$R$9,$S$9,IF(C18&lt;=$R$8,$S$8,IF(C18&lt;=$R$7,$S$7,""))))))</f>
        <v>Baja</v>
      </c>
      <c r="F18" s="209" t="str">
        <f>+IF(D18=0,"",IF(D18&lt;=$T$5,$T$6,IF(D18&lt;=$U$5,$U$6,IF(D18&lt;=$V$5,$V$6,IF(D18&lt;=$W$5,$W$6,IF(D18&lt;=$X$5,$X$6,""))))))</f>
        <v>Moderado</v>
      </c>
      <c r="G18" s="176" t="str">
        <f t="shared" si="2"/>
        <v>Moderado</v>
      </c>
      <c r="H18" s="178"/>
      <c r="I18" s="178"/>
      <c r="J18" s="178"/>
      <c r="K18" s="178"/>
      <c r="L18" s="178"/>
      <c r="M18" s="178"/>
      <c r="N18" s="178"/>
      <c r="O18" s="178"/>
      <c r="P18" s="178"/>
      <c r="Q18" s="199"/>
      <c r="R18" s="199"/>
      <c r="S18" s="197"/>
      <c r="AA18" s="197"/>
      <c r="AB18" s="197"/>
      <c r="AC18" s="174"/>
      <c r="AD18" s="174"/>
      <c r="AE18" s="174"/>
      <c r="AF18" s="182"/>
      <c r="AG18" s="182"/>
      <c r="AH18" s="182"/>
      <c r="AI18" s="182"/>
      <c r="AJ18" s="182"/>
      <c r="AK18" s="174"/>
      <c r="AL18" s="174"/>
    </row>
    <row r="19" spans="1:38" ht="93" customHeight="1" x14ac:dyDescent="0.25">
      <c r="A19" s="175" t="str">
        <f>'2. MATRIZ DE RIESGOS'!A75</f>
        <v>GE22</v>
      </c>
      <c r="B19" s="176" t="str">
        <f>'2. MATRIZ DE RIESGOS'!G75</f>
        <v>Posibilidad de afectación económica y reputacional del Instituto reflejada en la gestión de recursos adicionales para cumplir con los cierres financieros, asi como en requerimientos de la administración distrital, manifestaciones de inconformidad de la ciudadanía derivadas del incumplimiento de los compromisos adquiridos en el marco de la operación urbana y hallazgos de los entes de control. Lo anterior, debido a que no exista asignación de recursos para el modelo de financiación definido para el proyecto o que el proyecto estructurado no sea atractivo comercialmente para su apalancamiento, desarrollo y promoción por parte de otros actores.</v>
      </c>
      <c r="C19" s="208">
        <f>'2. MATRIZ DE RIESGOS'!AE75</f>
        <v>5.183999999999999E-2</v>
      </c>
      <c r="D19" s="177">
        <f>'2. MATRIZ DE RIESGOS'!AG75</f>
        <v>0.5625</v>
      </c>
      <c r="E19" s="209" t="str">
        <f>+IF(C19=0,"",IF(C19&lt;=$R$11,$S$11,IF(C19&lt;=$R$10,$S$10,IF(C19&lt;=$R$9,$S$9,IF(C19&lt;=$R$8,$S$8,IF(C19&lt;=$R$7,$S$7,""))))))</f>
        <v>Muy Baja</v>
      </c>
      <c r="F19" s="209" t="str">
        <f>+IF(D19=0,"",IF(D19&lt;=$T$5,$T$6,IF(D19&lt;=$U$5,$U$6,IF(D19&lt;=$V$5,$V$6,IF(D19&lt;=$W$5,$W$6,IF(D19&lt;=$X$5,$X$6,""))))))</f>
        <v>Moderado</v>
      </c>
      <c r="G19" s="176" t="str">
        <f t="shared" si="2"/>
        <v>Moderado</v>
      </c>
      <c r="H19" s="178"/>
      <c r="I19" s="178"/>
      <c r="J19" s="178"/>
      <c r="K19" s="178"/>
      <c r="L19" s="178"/>
      <c r="M19" s="178"/>
      <c r="N19" s="178"/>
      <c r="O19" s="178"/>
      <c r="P19" s="178"/>
      <c r="Q19" s="199"/>
      <c r="R19" s="199"/>
      <c r="S19" s="200"/>
      <c r="AA19" s="197"/>
      <c r="AB19" s="197"/>
      <c r="AC19" s="174"/>
      <c r="AD19" s="195"/>
      <c r="AE19" s="195"/>
      <c r="AF19" s="195"/>
      <c r="AG19" s="195"/>
      <c r="AH19" s="195"/>
      <c r="AI19" s="195"/>
      <c r="AJ19" s="182"/>
      <c r="AK19" s="174"/>
      <c r="AL19" s="174"/>
    </row>
    <row r="20" spans="1:38" ht="93" customHeight="1" x14ac:dyDescent="0.25">
      <c r="A20" s="175" t="s">
        <v>611</v>
      </c>
      <c r="B20" s="176">
        <v>0</v>
      </c>
      <c r="C20" s="208" t="s">
        <v>326</v>
      </c>
      <c r="D20" s="177">
        <v>0</v>
      </c>
      <c r="E20" s="209" t="str">
        <f t="shared" si="0"/>
        <v/>
      </c>
      <c r="F20" s="209" t="str">
        <f t="shared" si="1"/>
        <v/>
      </c>
      <c r="G20" s="176" t="str">
        <f t="shared" si="2"/>
        <v/>
      </c>
      <c r="H20" s="178"/>
      <c r="I20" s="178"/>
      <c r="J20" s="178"/>
      <c r="K20" s="178"/>
      <c r="L20" s="178"/>
      <c r="M20" s="178"/>
      <c r="N20" s="178"/>
      <c r="O20" s="178"/>
      <c r="P20" s="178"/>
      <c r="Q20" s="199"/>
      <c r="R20" s="199"/>
      <c r="AC20" s="174"/>
      <c r="AD20" s="201"/>
      <c r="AE20" s="201"/>
      <c r="AF20" s="201"/>
      <c r="AG20" s="201"/>
      <c r="AH20" s="201"/>
      <c r="AI20" s="201"/>
      <c r="AJ20" s="182"/>
      <c r="AK20" s="174"/>
      <c r="AL20" s="174"/>
    </row>
    <row r="21" spans="1:38" ht="93" customHeight="1" x14ac:dyDescent="0.25">
      <c r="A21" s="175" t="s">
        <v>612</v>
      </c>
      <c r="B21" s="176">
        <v>0</v>
      </c>
      <c r="C21" s="208" t="s">
        <v>326</v>
      </c>
      <c r="D21" s="177">
        <v>0</v>
      </c>
      <c r="E21" s="209" t="str">
        <f t="shared" si="0"/>
        <v/>
      </c>
      <c r="F21" s="209" t="str">
        <f t="shared" si="1"/>
        <v/>
      </c>
      <c r="G21" s="176" t="str">
        <f t="shared" si="2"/>
        <v/>
      </c>
      <c r="H21" s="178"/>
      <c r="I21" s="178"/>
      <c r="J21" s="178"/>
      <c r="K21" s="178"/>
      <c r="L21" s="178"/>
      <c r="M21" s="178"/>
      <c r="N21" s="178"/>
      <c r="O21" s="178"/>
      <c r="P21" s="178"/>
      <c r="Q21" s="199"/>
      <c r="R21" s="199"/>
      <c r="AC21" s="174"/>
      <c r="AD21" s="195"/>
      <c r="AE21" s="195"/>
      <c r="AF21" s="195"/>
      <c r="AG21" s="195"/>
      <c r="AH21" s="195"/>
      <c r="AI21" s="195"/>
      <c r="AJ21" s="182"/>
      <c r="AK21" s="174"/>
      <c r="AL21" s="174"/>
    </row>
    <row r="22" spans="1:38" ht="93" customHeight="1" x14ac:dyDescent="0.25">
      <c r="A22" s="175" t="s">
        <v>613</v>
      </c>
      <c r="B22" s="176">
        <v>0</v>
      </c>
      <c r="C22" s="208" t="s">
        <v>326</v>
      </c>
      <c r="D22" s="177">
        <v>0</v>
      </c>
      <c r="E22" s="209" t="str">
        <f t="shared" si="0"/>
        <v/>
      </c>
      <c r="F22" s="209" t="str">
        <f t="shared" si="1"/>
        <v/>
      </c>
      <c r="G22" s="176" t="str">
        <f t="shared" si="2"/>
        <v/>
      </c>
      <c r="H22" s="178"/>
      <c r="I22" s="178"/>
      <c r="J22" s="178"/>
      <c r="K22" s="178"/>
      <c r="L22" s="178"/>
      <c r="M22" s="178"/>
      <c r="N22" s="178"/>
      <c r="O22" s="178"/>
      <c r="P22" s="178"/>
      <c r="AC22" s="174"/>
      <c r="AD22" s="195"/>
      <c r="AE22" s="195"/>
      <c r="AF22" s="195"/>
      <c r="AG22" s="195"/>
      <c r="AH22" s="195"/>
      <c r="AI22" s="195"/>
      <c r="AJ22" s="182"/>
      <c r="AK22" s="174"/>
      <c r="AL22" s="174"/>
    </row>
    <row r="23" spans="1:38" ht="93" customHeight="1" x14ac:dyDescent="0.3">
      <c r="A23" s="175" t="s">
        <v>614</v>
      </c>
      <c r="B23" s="176">
        <v>0</v>
      </c>
      <c r="C23" s="208" t="s">
        <v>326</v>
      </c>
      <c r="D23" s="177">
        <v>0</v>
      </c>
      <c r="E23" s="209" t="str">
        <f t="shared" si="0"/>
        <v/>
      </c>
      <c r="F23" s="209" t="str">
        <f t="shared" si="1"/>
        <v/>
      </c>
      <c r="G23" s="176" t="str">
        <f t="shared" si="2"/>
        <v/>
      </c>
      <c r="H23" s="178"/>
      <c r="I23" s="178"/>
      <c r="J23" s="178"/>
      <c r="K23" s="178"/>
      <c r="L23" s="178"/>
      <c r="M23" s="178"/>
      <c r="N23" s="178"/>
      <c r="O23" s="178"/>
      <c r="P23" s="178"/>
    </row>
    <row r="24" spans="1:38" ht="93" customHeight="1" x14ac:dyDescent="0.3">
      <c r="A24" s="175" t="s">
        <v>615</v>
      </c>
      <c r="B24" s="176">
        <v>0</v>
      </c>
      <c r="C24" s="208" t="s">
        <v>326</v>
      </c>
      <c r="D24" s="177">
        <v>0</v>
      </c>
      <c r="E24" s="209" t="str">
        <f t="shared" si="0"/>
        <v/>
      </c>
      <c r="F24" s="209" t="str">
        <f t="shared" si="1"/>
        <v/>
      </c>
      <c r="G24" s="176" t="str">
        <f t="shared" si="2"/>
        <v/>
      </c>
      <c r="H24" s="178"/>
      <c r="I24" s="178"/>
      <c r="J24" s="178"/>
      <c r="K24" s="178"/>
      <c r="L24" s="178"/>
      <c r="M24" s="178"/>
      <c r="N24" s="178"/>
      <c r="O24" s="178"/>
      <c r="P24" s="178"/>
    </row>
    <row r="25" spans="1:38" ht="93" customHeight="1" x14ac:dyDescent="0.3">
      <c r="A25" s="175" t="s">
        <v>616</v>
      </c>
      <c r="B25" s="176">
        <v>0</v>
      </c>
      <c r="C25" s="208" t="s">
        <v>326</v>
      </c>
      <c r="D25" s="177">
        <v>0</v>
      </c>
      <c r="E25" s="209" t="str">
        <f t="shared" si="0"/>
        <v/>
      </c>
      <c r="F25" s="209" t="str">
        <f t="shared" si="1"/>
        <v/>
      </c>
      <c r="G25" s="176" t="str">
        <f t="shared" si="2"/>
        <v/>
      </c>
      <c r="H25" s="178"/>
      <c r="I25" s="178"/>
      <c r="J25" s="178"/>
      <c r="K25" s="178"/>
      <c r="L25" s="178"/>
      <c r="M25" s="178"/>
      <c r="N25" s="178"/>
      <c r="O25" s="178"/>
      <c r="P25" s="178"/>
    </row>
    <row r="26" spans="1:38" ht="93" customHeight="1" x14ac:dyDescent="0.3">
      <c r="A26" s="175" t="s">
        <v>617</v>
      </c>
      <c r="B26" s="176">
        <v>0</v>
      </c>
      <c r="C26" s="208" t="s">
        <v>326</v>
      </c>
      <c r="D26" s="177">
        <v>0</v>
      </c>
      <c r="E26" s="209" t="str">
        <f t="shared" si="0"/>
        <v/>
      </c>
      <c r="F26" s="209" t="str">
        <f t="shared" si="1"/>
        <v/>
      </c>
      <c r="G26" s="176" t="str">
        <f t="shared" si="2"/>
        <v/>
      </c>
      <c r="H26" s="178"/>
      <c r="I26" s="178"/>
      <c r="J26" s="178"/>
      <c r="K26" s="178"/>
      <c r="L26" s="178"/>
      <c r="M26" s="178"/>
      <c r="N26" s="178"/>
      <c r="O26" s="178"/>
      <c r="P26" s="178"/>
    </row>
    <row r="27" spans="1:38" ht="14.55" customHeight="1" x14ac:dyDescent="0.3">
      <c r="B27" s="160"/>
      <c r="D27" s="160"/>
      <c r="G27" s="160"/>
      <c r="H27" s="160"/>
      <c r="I27" s="160"/>
      <c r="J27" s="160"/>
      <c r="K27" s="160"/>
      <c r="L27" s="160"/>
      <c r="M27" s="160"/>
      <c r="N27" s="160"/>
      <c r="O27" s="160"/>
      <c r="P27" s="160"/>
      <c r="AA27" s="164"/>
      <c r="AB27" s="164"/>
      <c r="AC27" s="164"/>
      <c r="AD27" s="164"/>
      <c r="AE27" s="164"/>
      <c r="AF27" s="160"/>
      <c r="AG27" s="160"/>
      <c r="AH27" s="160"/>
      <c r="AI27" s="160"/>
      <c r="AJ27" s="160"/>
    </row>
    <row r="28" spans="1:38" ht="39" hidden="1" customHeight="1" x14ac:dyDescent="0.3">
      <c r="B28" s="160"/>
      <c r="D28" s="160"/>
      <c r="G28" s="160"/>
      <c r="H28" s="160"/>
      <c r="I28" s="160"/>
      <c r="J28" s="160"/>
      <c r="K28" s="160"/>
      <c r="L28" s="160"/>
      <c r="M28" s="160"/>
      <c r="N28" s="160"/>
      <c r="O28" s="160"/>
      <c r="P28" s="160"/>
      <c r="AA28" s="164"/>
      <c r="AB28" s="164"/>
      <c r="AC28" s="164"/>
      <c r="AD28" s="164"/>
      <c r="AE28" s="164"/>
      <c r="AF28" s="160"/>
      <c r="AG28" s="160"/>
      <c r="AH28" s="160"/>
      <c r="AI28" s="160"/>
      <c r="AJ28" s="160"/>
    </row>
    <row r="29" spans="1:38" ht="19.5" hidden="1" customHeight="1" x14ac:dyDescent="0.3">
      <c r="B29" s="160"/>
      <c r="D29" s="160"/>
      <c r="G29" s="160"/>
      <c r="H29" s="160"/>
      <c r="I29" s="160"/>
      <c r="J29" s="160"/>
      <c r="K29" s="160"/>
      <c r="L29" s="160"/>
      <c r="M29" s="160"/>
      <c r="N29" s="160"/>
      <c r="O29" s="160"/>
      <c r="P29" s="160"/>
      <c r="AA29" s="164"/>
      <c r="AB29" s="164"/>
      <c r="AC29" s="164"/>
      <c r="AD29" s="164"/>
      <c r="AE29" s="164"/>
      <c r="AF29" s="160"/>
      <c r="AG29" s="160"/>
      <c r="AH29" s="160"/>
      <c r="AI29" s="160"/>
      <c r="AJ29" s="160"/>
    </row>
    <row r="30" spans="1:38" ht="19.5" hidden="1" customHeight="1" x14ac:dyDescent="0.3">
      <c r="B30" s="160"/>
      <c r="D30" s="160"/>
      <c r="G30" s="160"/>
      <c r="H30" s="160"/>
      <c r="I30" s="160"/>
      <c r="J30" s="160"/>
      <c r="K30" s="160"/>
      <c r="L30" s="160"/>
      <c r="M30" s="160"/>
      <c r="N30" s="160"/>
      <c r="O30" s="160"/>
      <c r="P30" s="160"/>
      <c r="AA30" s="164"/>
      <c r="AB30" s="164"/>
      <c r="AC30" s="164"/>
      <c r="AD30" s="164"/>
      <c r="AE30" s="164"/>
      <c r="AF30" s="160"/>
      <c r="AG30" s="160"/>
      <c r="AH30" s="160"/>
      <c r="AI30" s="160"/>
      <c r="AJ30" s="160"/>
    </row>
    <row r="31" spans="1:38" ht="19.5" hidden="1" customHeight="1" x14ac:dyDescent="0.3">
      <c r="B31" s="160"/>
      <c r="D31" s="160"/>
      <c r="G31" s="160"/>
      <c r="H31" s="160"/>
      <c r="I31" s="160"/>
      <c r="J31" s="160"/>
      <c r="K31" s="160"/>
      <c r="L31" s="160"/>
      <c r="M31" s="160"/>
      <c r="N31" s="160"/>
      <c r="O31" s="160"/>
      <c r="P31" s="160"/>
      <c r="AA31" s="164"/>
      <c r="AB31" s="164"/>
      <c r="AC31" s="164"/>
      <c r="AD31" s="164"/>
      <c r="AE31" s="164"/>
      <c r="AF31" s="160"/>
      <c r="AG31" s="160"/>
      <c r="AH31" s="160"/>
      <c r="AI31" s="160"/>
      <c r="AJ31" s="160"/>
    </row>
    <row r="32" spans="1:38" ht="19.5" hidden="1" customHeight="1" x14ac:dyDescent="0.3">
      <c r="B32" s="160"/>
      <c r="D32" s="160"/>
      <c r="G32" s="160"/>
      <c r="H32" s="160"/>
      <c r="I32" s="160"/>
      <c r="J32" s="160"/>
      <c r="K32" s="160"/>
      <c r="L32" s="160"/>
      <c r="M32" s="160"/>
      <c r="N32" s="160"/>
      <c r="O32" s="160"/>
      <c r="P32" s="160"/>
      <c r="AA32" s="164"/>
      <c r="AB32" s="164"/>
      <c r="AC32" s="164"/>
      <c r="AD32" s="164"/>
      <c r="AE32" s="164"/>
      <c r="AF32" s="160"/>
      <c r="AG32" s="160"/>
      <c r="AH32" s="160"/>
      <c r="AI32" s="160"/>
      <c r="AJ32" s="160"/>
    </row>
    <row r="33" spans="2:36" ht="19.5" hidden="1" customHeight="1" x14ac:dyDescent="0.3">
      <c r="B33" s="160"/>
      <c r="D33" s="160"/>
      <c r="G33" s="160"/>
      <c r="H33" s="160"/>
      <c r="I33" s="160"/>
      <c r="J33" s="160"/>
      <c r="K33" s="160"/>
      <c r="L33" s="160"/>
      <c r="M33" s="160"/>
      <c r="N33" s="160"/>
      <c r="O33" s="160"/>
      <c r="P33" s="160"/>
      <c r="AA33" s="164"/>
      <c r="AB33" s="164"/>
      <c r="AC33" s="164"/>
      <c r="AD33" s="164"/>
      <c r="AE33" s="164"/>
      <c r="AF33" s="160"/>
      <c r="AG33" s="160"/>
      <c r="AH33" s="160"/>
      <c r="AI33" s="160"/>
      <c r="AJ33" s="160"/>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573D8AC2-AFB5-451C-BCDB-0A4132B5EE89}">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39110467-CF40-430A-9DE9-1E63D7EC8CAC}"/>
    <dataValidation allowBlank="1" showInputMessage="1" showErrorMessage="1" prompt="Es la materialización del riesgo y las consecuencias de su aparición. Su escala es: 5 bajo impacto, 10 medio, 20 alto impacto._x000a_" sqref="JD6:JJ6" xr:uid="{B0B36E90-C6CE-4988-B375-2757628009D8}"/>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E858-2296-4C41-9637-B29750E08F9A}">
  <dimension ref="A1:JH72"/>
  <sheetViews>
    <sheetView showGridLines="0" zoomScaleNormal="100" workbookViewId="0">
      <selection activeCell="K10" sqref="K10"/>
    </sheetView>
  </sheetViews>
  <sheetFormatPr baseColWidth="10" defaultColWidth="0" defaultRowHeight="0" customHeight="1" zeroHeight="1" x14ac:dyDescent="0.3"/>
  <cols>
    <col min="1" max="1" width="7.109375" style="160" customWidth="1"/>
    <col min="2" max="2" width="9.109375" style="164" bestFit="1" customWidth="1"/>
    <col min="3" max="3" width="13.77734375" style="164" customWidth="1"/>
    <col min="4" max="4" width="12.77734375" style="164" customWidth="1"/>
    <col min="5" max="6" width="15.44140625" style="210" customWidth="1"/>
    <col min="7" max="7" width="12" style="164" customWidth="1"/>
    <col min="8" max="8" width="3.77734375" style="164" customWidth="1"/>
    <col min="9" max="9" width="7.44140625" style="164" customWidth="1"/>
    <col min="10" max="10" width="14" style="164" customWidth="1"/>
    <col min="11" max="15" width="12.44140625" style="164" customWidth="1"/>
    <col min="16" max="16" width="3.77734375" style="164" customWidth="1"/>
    <col min="17" max="17" width="4.77734375" style="160" hidden="1" customWidth="1"/>
    <col min="18" max="18" width="6.109375" style="160" hidden="1" customWidth="1"/>
    <col min="19" max="24" width="14" style="160" hidden="1" customWidth="1"/>
    <col min="25" max="29" width="11.44140625" style="160" customWidth="1"/>
    <col min="30" max="30" width="5.44140625" style="160" bestFit="1" customWidth="1"/>
    <col min="31" max="31" width="26.77734375" style="160" customWidth="1"/>
    <col min="32" max="32" width="22.77734375" style="164" customWidth="1"/>
    <col min="33" max="36" width="22.77734375" style="164" hidden="1" customWidth="1"/>
    <col min="37" max="37" width="23.44140625" style="160" hidden="1" customWidth="1"/>
    <col min="38" max="265" width="11.44140625" style="160" hidden="1" customWidth="1"/>
    <col min="266" max="266" width="12.44140625" style="160" hidden="1" customWidth="1"/>
    <col min="267" max="267" width="47" style="160" hidden="1" customWidth="1"/>
    <col min="268" max="268" width="35" style="160" hidden="1" customWidth="1"/>
    <col min="269" max="16384" width="14.44140625" style="160" hidden="1"/>
  </cols>
  <sheetData>
    <row r="1" spans="1:38" s="140" customFormat="1" ht="13.2" x14ac:dyDescent="0.25">
      <c r="A1" s="142"/>
      <c r="B1" s="134"/>
      <c r="C1" s="134"/>
      <c r="D1" s="134"/>
      <c r="E1" s="203"/>
      <c r="F1" s="203"/>
      <c r="G1" s="134"/>
      <c r="H1" s="134"/>
      <c r="N1" s="139"/>
      <c r="O1" s="139"/>
      <c r="P1" s="134"/>
      <c r="AF1" s="141"/>
      <c r="AG1" s="141"/>
      <c r="AH1" s="141"/>
      <c r="AI1" s="141"/>
      <c r="AJ1" s="141"/>
    </row>
    <row r="2" spans="1:38" s="140" customFormat="1" ht="33" customHeight="1" x14ac:dyDescent="0.25">
      <c r="A2" s="425" t="s">
        <v>623</v>
      </c>
      <c r="B2" s="426"/>
      <c r="C2" s="426"/>
      <c r="D2" s="427"/>
      <c r="E2" s="205"/>
      <c r="F2" s="203"/>
      <c r="G2" s="134"/>
      <c r="H2" s="134"/>
      <c r="I2" s="211"/>
      <c r="J2" s="211"/>
      <c r="K2" s="150"/>
      <c r="L2" s="150"/>
      <c r="M2" s="150"/>
      <c r="N2" s="139"/>
      <c r="O2" s="139"/>
      <c r="P2" s="134"/>
      <c r="AF2" s="141"/>
      <c r="AG2" s="141"/>
      <c r="AH2" s="141"/>
      <c r="AI2" s="141"/>
      <c r="AJ2" s="141"/>
    </row>
    <row r="3" spans="1:38" s="140" customFormat="1" ht="33" customHeight="1" x14ac:dyDescent="0.25">
      <c r="A3" s="148" t="s">
        <v>84</v>
      </c>
      <c r="B3" s="410" t="str">
        <f>'2. MATRIZ DE RIESGOS'!D6</f>
        <v>Gestión Estratégica</v>
      </c>
      <c r="C3" s="428"/>
      <c r="D3" s="428"/>
      <c r="E3" s="205"/>
      <c r="F3" s="203"/>
      <c r="G3" s="134"/>
      <c r="H3" s="134"/>
      <c r="I3" s="211"/>
      <c r="J3" s="211"/>
      <c r="K3" s="150"/>
      <c r="L3" s="150"/>
      <c r="M3" s="150"/>
      <c r="N3" s="139"/>
      <c r="O3" s="139"/>
      <c r="P3" s="134"/>
      <c r="AF3" s="141"/>
      <c r="AG3" s="141"/>
      <c r="AH3" s="141"/>
      <c r="AI3" s="141"/>
      <c r="AJ3" s="141"/>
    </row>
    <row r="4" spans="1:38" s="140" customFormat="1" ht="14.4" thickBot="1" x14ac:dyDescent="0.3">
      <c r="D4" s="205"/>
      <c r="E4" s="205"/>
      <c r="F4" s="206"/>
      <c r="AF4" s="141"/>
      <c r="AG4" s="141"/>
      <c r="AH4" s="141"/>
      <c r="AI4" s="141"/>
      <c r="AJ4" s="141"/>
    </row>
    <row r="5" spans="1:38" s="140" customFormat="1" ht="13.8" thickBot="1" x14ac:dyDescent="0.3">
      <c r="A5" s="429" t="s">
        <v>604</v>
      </c>
      <c r="B5" s="430"/>
      <c r="C5" s="430"/>
      <c r="D5" s="430"/>
      <c r="E5" s="430"/>
      <c r="F5" s="430"/>
      <c r="G5" s="431"/>
      <c r="I5" s="429" t="s">
        <v>619</v>
      </c>
      <c r="J5" s="430"/>
      <c r="K5" s="430"/>
      <c r="L5" s="430"/>
      <c r="M5" s="430"/>
      <c r="N5" s="430"/>
      <c r="O5" s="431"/>
      <c r="R5" s="151"/>
      <c r="S5" s="152"/>
      <c r="T5" s="414" t="s">
        <v>507</v>
      </c>
      <c r="U5" s="414"/>
      <c r="V5" s="414"/>
      <c r="W5" s="414"/>
      <c r="X5" s="415"/>
      <c r="AF5" s="141"/>
      <c r="AG5" s="141"/>
      <c r="AH5" s="141"/>
      <c r="AI5" s="141"/>
      <c r="AJ5" s="141"/>
    </row>
    <row r="6" spans="1:38" ht="13.2" x14ac:dyDescent="0.3">
      <c r="A6" s="157"/>
      <c r="B6" s="158"/>
      <c r="C6" s="414" t="s">
        <v>507</v>
      </c>
      <c r="D6" s="414"/>
      <c r="E6" s="414"/>
      <c r="F6" s="414"/>
      <c r="G6" s="415"/>
      <c r="H6" s="156"/>
      <c r="I6" s="157"/>
      <c r="J6" s="158"/>
      <c r="K6" s="414" t="s">
        <v>507</v>
      </c>
      <c r="L6" s="414"/>
      <c r="M6" s="414"/>
      <c r="N6" s="414"/>
      <c r="O6" s="415"/>
      <c r="P6" s="156"/>
      <c r="R6" s="159"/>
      <c r="T6" s="161">
        <v>0.2</v>
      </c>
      <c r="U6" s="161">
        <v>0.4</v>
      </c>
      <c r="V6" s="161">
        <v>0.6</v>
      </c>
      <c r="W6" s="161">
        <v>0.8</v>
      </c>
      <c r="X6" s="162">
        <v>1</v>
      </c>
      <c r="Y6" s="163"/>
      <c r="Z6" s="163"/>
      <c r="AA6" s="163"/>
      <c r="AB6" s="163"/>
      <c r="AC6" s="163"/>
      <c r="AD6" s="163"/>
      <c r="AE6" s="163"/>
    </row>
    <row r="7" spans="1:38" ht="13.2" x14ac:dyDescent="0.25">
      <c r="A7" s="159"/>
      <c r="B7" s="168"/>
      <c r="C7" s="169" t="s">
        <v>523</v>
      </c>
      <c r="D7" s="169" t="s">
        <v>526</v>
      </c>
      <c r="E7" s="169" t="s">
        <v>193</v>
      </c>
      <c r="F7" s="169" t="s">
        <v>143</v>
      </c>
      <c r="G7" s="170" t="s">
        <v>240</v>
      </c>
      <c r="H7" s="156"/>
      <c r="I7" s="159"/>
      <c r="J7" s="168"/>
      <c r="K7" s="169" t="s">
        <v>523</v>
      </c>
      <c r="L7" s="169" t="s">
        <v>526</v>
      </c>
      <c r="M7" s="169" t="s">
        <v>193</v>
      </c>
      <c r="N7" s="169" t="s">
        <v>143</v>
      </c>
      <c r="O7" s="170" t="s">
        <v>240</v>
      </c>
      <c r="P7" s="156"/>
      <c r="R7" s="159"/>
      <c r="S7" s="171"/>
      <c r="T7" s="172" t="s">
        <v>523</v>
      </c>
      <c r="U7" s="172" t="s">
        <v>526</v>
      </c>
      <c r="V7" s="172" t="s">
        <v>193</v>
      </c>
      <c r="W7" s="172" t="s">
        <v>143</v>
      </c>
      <c r="X7" s="173" t="s">
        <v>240</v>
      </c>
      <c r="AA7" s="163"/>
      <c r="AB7" s="163"/>
      <c r="AC7" s="174"/>
      <c r="AD7" s="174"/>
      <c r="AE7" s="174"/>
      <c r="AF7" s="174"/>
      <c r="AG7" s="174"/>
      <c r="AH7" s="174"/>
      <c r="AI7" s="174"/>
      <c r="AJ7" s="174"/>
      <c r="AK7" s="174"/>
      <c r="AL7" s="174"/>
    </row>
    <row r="8" spans="1:38" ht="55.5" customHeight="1" x14ac:dyDescent="0.25">
      <c r="A8" s="405" t="s">
        <v>195</v>
      </c>
      <c r="B8" s="169" t="s">
        <v>217</v>
      </c>
      <c r="C8" s="179" t="str">
        <f>+'MAPA CALOR INHERENTE'!I7</f>
        <v xml:space="preserve">                   </v>
      </c>
      <c r="D8" s="179" t="str">
        <f>+'MAPA CALOR INHERENTE'!J7</f>
        <v xml:space="preserve">                   </v>
      </c>
      <c r="E8" s="179" t="str">
        <f>+'MAPA CALOR INHERENTE'!K7</f>
        <v xml:space="preserve">                   </v>
      </c>
      <c r="F8" s="179" t="str">
        <f>+'MAPA CALOR INHERENTE'!L7</f>
        <v xml:space="preserve">  GE18                 </v>
      </c>
      <c r="G8" s="180" t="str">
        <f>+'MAPA CALOR INHERENTE'!M7</f>
        <v xml:space="preserve">                   </v>
      </c>
      <c r="H8" s="178"/>
      <c r="I8" s="405" t="s">
        <v>195</v>
      </c>
      <c r="J8" s="169" t="s">
        <v>217</v>
      </c>
      <c r="K8" s="179" t="str">
        <f>+'MAPA CALOR RESIDUAL'!K7</f>
        <v xml:space="preserve">                   </v>
      </c>
      <c r="L8" s="179" t="str">
        <f>+'MAPA CALOR RESIDUAL'!L7</f>
        <v xml:space="preserve">                   </v>
      </c>
      <c r="M8" s="179" t="str">
        <f>+'MAPA CALOR RESIDUAL'!M7</f>
        <v xml:space="preserve">                   </v>
      </c>
      <c r="N8" s="179" t="str">
        <f>+'MAPA CALOR RESIDUAL'!N7</f>
        <v xml:space="preserve">                   </v>
      </c>
      <c r="O8" s="180" t="str">
        <f>+'MAPA CALOR RESIDUAL'!O7</f>
        <v xml:space="preserve">                   </v>
      </c>
      <c r="P8" s="178"/>
      <c r="Q8" s="424" t="s">
        <v>195</v>
      </c>
      <c r="R8" s="181">
        <v>1</v>
      </c>
      <c r="S8" s="172" t="s">
        <v>217</v>
      </c>
      <c r="T8" s="179" t="s">
        <v>508</v>
      </c>
      <c r="U8" s="179" t="s">
        <v>508</v>
      </c>
      <c r="V8" s="179" t="s">
        <v>508</v>
      </c>
      <c r="W8" s="179" t="s">
        <v>508</v>
      </c>
      <c r="X8" s="180" t="s">
        <v>315</v>
      </c>
      <c r="AA8" s="163"/>
      <c r="AB8" s="163"/>
      <c r="AC8" s="174"/>
      <c r="AD8" s="174"/>
      <c r="AE8" s="174"/>
      <c r="AF8" s="182"/>
      <c r="AG8" s="182"/>
      <c r="AH8" s="182"/>
      <c r="AI8" s="182"/>
      <c r="AJ8" s="182"/>
      <c r="AK8" s="174"/>
      <c r="AL8" s="174"/>
    </row>
    <row r="9" spans="1:38" ht="55.5" customHeight="1" x14ac:dyDescent="0.25">
      <c r="A9" s="405"/>
      <c r="B9" s="169" t="s">
        <v>142</v>
      </c>
      <c r="C9" s="183" t="str">
        <f>+'MAPA CALOR INHERENTE'!I8</f>
        <v xml:space="preserve">                   </v>
      </c>
      <c r="D9" s="183" t="str">
        <f>+'MAPA CALOR INHERENTE'!J8</f>
        <v xml:space="preserve">                   </v>
      </c>
      <c r="E9" s="179" t="str">
        <f>+'MAPA CALOR INHERENTE'!K8</f>
        <v xml:space="preserve">                   </v>
      </c>
      <c r="F9" s="179" t="str">
        <f>+'MAPA CALOR INHERENTE'!L8</f>
        <v xml:space="preserve">GE29                   </v>
      </c>
      <c r="G9" s="180" t="str">
        <f>+'MAPA CALOR INHERENTE'!M8</f>
        <v xml:space="preserve">                   </v>
      </c>
      <c r="H9" s="178"/>
      <c r="I9" s="405"/>
      <c r="J9" s="169" t="s">
        <v>142</v>
      </c>
      <c r="K9" s="183" t="str">
        <f>+'MAPA CALOR RESIDUAL'!K8</f>
        <v xml:space="preserve">                   </v>
      </c>
      <c r="L9" s="183" t="str">
        <f>+'MAPA CALOR RESIDUAL'!L8</f>
        <v xml:space="preserve">                   </v>
      </c>
      <c r="M9" s="179" t="str">
        <f>'MAPA CALOR RESIDUAL'!M8</f>
        <v xml:space="preserve">                   </v>
      </c>
      <c r="N9" s="179" t="str">
        <f>+'MAPA CALOR RESIDUAL'!N8</f>
        <v xml:space="preserve">  GE18                 </v>
      </c>
      <c r="O9" s="180" t="str">
        <f>+'MAPA CALOR RESIDUAL'!O8</f>
        <v xml:space="preserve">                   </v>
      </c>
      <c r="P9" s="178"/>
      <c r="Q9" s="424"/>
      <c r="R9" s="181">
        <v>0.8</v>
      </c>
      <c r="S9" s="172" t="s">
        <v>142</v>
      </c>
      <c r="T9" s="183" t="s">
        <v>193</v>
      </c>
      <c r="U9" s="183" t="s">
        <v>193</v>
      </c>
      <c r="V9" s="179" t="s">
        <v>508</v>
      </c>
      <c r="W9" s="179" t="s">
        <v>508</v>
      </c>
      <c r="X9" s="180" t="s">
        <v>315</v>
      </c>
      <c r="AA9" s="163"/>
      <c r="AB9" s="163"/>
      <c r="AC9" s="174"/>
      <c r="AD9" s="184"/>
      <c r="AE9" s="185"/>
      <c r="AF9" s="182"/>
      <c r="AG9" s="182"/>
      <c r="AH9" s="182"/>
      <c r="AI9" s="182"/>
      <c r="AJ9" s="182"/>
      <c r="AK9" s="174"/>
      <c r="AL9" s="174"/>
    </row>
    <row r="10" spans="1:38" ht="55.5" customHeight="1" x14ac:dyDescent="0.25">
      <c r="A10" s="405"/>
      <c r="B10" s="169" t="s">
        <v>192</v>
      </c>
      <c r="C10" s="183" t="str">
        <f>+'MAPA CALOR INHERENTE'!I9</f>
        <v xml:space="preserve">                   </v>
      </c>
      <c r="D10" s="183" t="str">
        <f>+'MAPA CALOR INHERENTE'!J9</f>
        <v xml:space="preserve">                   </v>
      </c>
      <c r="E10" s="183" t="str">
        <f>+'MAPA CALOR INHERENTE'!K9</f>
        <v xml:space="preserve"> GE17                  </v>
      </c>
      <c r="F10" s="179" t="str">
        <f>+'MAPA CALOR INHERENTE'!L9</f>
        <v xml:space="preserve">    GE24               </v>
      </c>
      <c r="G10" s="180" t="str">
        <f>+'MAPA CALOR INHERENTE'!M9</f>
        <v xml:space="preserve">                   </v>
      </c>
      <c r="H10" s="178"/>
      <c r="I10" s="405"/>
      <c r="J10" s="169" t="s">
        <v>192</v>
      </c>
      <c r="K10" s="183" t="str">
        <f>+'MAPA CALOR RESIDUAL'!K9</f>
        <v xml:space="preserve">                   </v>
      </c>
      <c r="L10" s="183" t="str">
        <f>+'MAPA CALOR RESIDUAL'!L9</f>
        <v xml:space="preserve">                   </v>
      </c>
      <c r="M10" s="183" t="str">
        <f>+'MAPA CALOR RESIDUAL'!M9</f>
        <v xml:space="preserve">                   </v>
      </c>
      <c r="N10" s="179" t="str">
        <f>+'MAPA CALOR RESIDUAL'!N9</f>
        <v xml:space="preserve">                   </v>
      </c>
      <c r="O10" s="180" t="str">
        <f>+'MAPA CALOR RESIDUAL'!O9</f>
        <v xml:space="preserve">                   </v>
      </c>
      <c r="P10" s="178"/>
      <c r="Q10" s="424"/>
      <c r="R10" s="181">
        <v>0.6</v>
      </c>
      <c r="S10" s="172" t="s">
        <v>192</v>
      </c>
      <c r="T10" s="183" t="s">
        <v>193</v>
      </c>
      <c r="U10" s="183" t="s">
        <v>193</v>
      </c>
      <c r="V10" s="183" t="s">
        <v>193</v>
      </c>
      <c r="W10" s="179" t="s">
        <v>508</v>
      </c>
      <c r="X10" s="180" t="s">
        <v>315</v>
      </c>
      <c r="AA10" s="163"/>
      <c r="AB10" s="163"/>
      <c r="AC10" s="174"/>
      <c r="AD10" s="184"/>
      <c r="AE10" s="185"/>
      <c r="AF10" s="182"/>
      <c r="AG10" s="182"/>
      <c r="AH10" s="182"/>
      <c r="AI10" s="182"/>
      <c r="AJ10" s="186"/>
      <c r="AK10" s="174"/>
      <c r="AL10" s="174"/>
    </row>
    <row r="11" spans="1:38" ht="55.5" customHeight="1" x14ac:dyDescent="0.25">
      <c r="A11" s="405"/>
      <c r="B11" s="169" t="s">
        <v>239</v>
      </c>
      <c r="C11" s="187" t="s">
        <v>624</v>
      </c>
      <c r="D11" s="183" t="str">
        <f>+'MAPA CALOR INHERENTE'!J10</f>
        <v xml:space="preserve">                   </v>
      </c>
      <c r="E11" s="183" t="str">
        <f>+'MAPA CALOR INHERENTE'!K10</f>
        <v xml:space="preserve">      GE26             </v>
      </c>
      <c r="F11" s="179" t="str">
        <f>+'MAPA CALOR INHERENTE'!L10</f>
        <v xml:space="preserve">     GE25  GE27            </v>
      </c>
      <c r="G11" s="180" t="str">
        <f>+'MAPA CALOR INHERENTE'!M10</f>
        <v xml:space="preserve">   GE23        GE21 GE22       </v>
      </c>
      <c r="H11" s="178"/>
      <c r="I11" s="405"/>
      <c r="J11" s="169" t="s">
        <v>239</v>
      </c>
      <c r="K11" s="187" t="str">
        <f>+'MAPA CALOR RESIDUAL'!K10</f>
        <v xml:space="preserve">                   </v>
      </c>
      <c r="L11" s="183" t="str">
        <f>+'MAPA CALOR RESIDUAL'!L10</f>
        <v xml:space="preserve">                   </v>
      </c>
      <c r="M11" s="183" t="str">
        <f>+'MAPA CALOR RESIDUAL'!M10</f>
        <v xml:space="preserve">    GE24 GE25      GE21        </v>
      </c>
      <c r="N11" s="179" t="str">
        <f>'MAPA CALOR RESIDUAL'!N10</f>
        <v xml:space="preserve">                   </v>
      </c>
      <c r="O11" s="180" t="str">
        <f>+'MAPA CALOR RESIDUAL'!O10</f>
        <v xml:space="preserve">                   </v>
      </c>
      <c r="P11" s="178"/>
      <c r="Q11" s="424"/>
      <c r="R11" s="181">
        <v>0.4</v>
      </c>
      <c r="S11" s="172" t="s">
        <v>239</v>
      </c>
      <c r="T11" s="187" t="s">
        <v>509</v>
      </c>
      <c r="U11" s="183" t="s">
        <v>193</v>
      </c>
      <c r="V11" s="183" t="s">
        <v>193</v>
      </c>
      <c r="W11" s="179" t="s">
        <v>508</v>
      </c>
      <c r="X11" s="180" t="s">
        <v>315</v>
      </c>
      <c r="AA11" s="163"/>
      <c r="AB11" s="163"/>
      <c r="AC11" s="174"/>
      <c r="AD11" s="184"/>
      <c r="AE11" s="185"/>
      <c r="AF11" s="182"/>
      <c r="AG11" s="182"/>
      <c r="AH11" s="182"/>
      <c r="AI11" s="186"/>
      <c r="AJ11" s="182"/>
      <c r="AK11" s="174"/>
      <c r="AL11" s="174"/>
    </row>
    <row r="12" spans="1:38" ht="55.5" customHeight="1" thickBot="1" x14ac:dyDescent="0.3">
      <c r="A12" s="406"/>
      <c r="B12" s="188" t="s">
        <v>319</v>
      </c>
      <c r="C12" s="189" t="str">
        <f>+'MAPA CALOR INHERENTE'!I11</f>
        <v xml:space="preserve">                   </v>
      </c>
      <c r="D12" s="189" t="str">
        <f>+'MAPA CALOR INHERENTE'!J11</f>
        <v xml:space="preserve">                   </v>
      </c>
      <c r="E12" s="190" t="str">
        <f>+'MAPA CALOR INHERENTE'!K11</f>
        <v xml:space="preserve">                   </v>
      </c>
      <c r="F12" s="191" t="str">
        <f>+'MAPA CALOR INHERENTE'!L11</f>
        <v xml:space="preserve">        GE28 GE19 GE20         </v>
      </c>
      <c r="G12" s="192" t="str">
        <f>+'MAPA CALOR INHERENTE'!M11</f>
        <v xml:space="preserve">                   </v>
      </c>
      <c r="H12" s="178"/>
      <c r="I12" s="406"/>
      <c r="J12" s="188" t="s">
        <v>319</v>
      </c>
      <c r="K12" s="189" t="str">
        <f>+'MAPA CALOR RESIDUAL'!K11</f>
        <v xml:space="preserve">                   </v>
      </c>
      <c r="L12" s="189" t="str">
        <f>+'MAPA CALOR RESIDUAL'!L11</f>
        <v xml:space="preserve">                   </v>
      </c>
      <c r="M12" s="190" t="str">
        <f>+'MAPA CALOR RESIDUAL'!M11</f>
        <v xml:space="preserve"> GE17     GE26  GE28    GE22       </v>
      </c>
      <c r="N12" s="191" t="str">
        <f>+'MAPA CALOR RESIDUAL'!N11</f>
        <v xml:space="preserve">GE29   GE23    GE27  GE19 GE20         </v>
      </c>
      <c r="O12" s="192" t="str">
        <f>+'MAPA CALOR RESIDUAL'!O11</f>
        <v xml:space="preserve">                   </v>
      </c>
      <c r="P12" s="178"/>
      <c r="Q12" s="424"/>
      <c r="R12" s="193">
        <v>0.2</v>
      </c>
      <c r="S12" s="194" t="s">
        <v>319</v>
      </c>
      <c r="T12" s="189" t="s">
        <v>509</v>
      </c>
      <c r="U12" s="189" t="s">
        <v>509</v>
      </c>
      <c r="V12" s="190" t="s">
        <v>193</v>
      </c>
      <c r="W12" s="191" t="s">
        <v>508</v>
      </c>
      <c r="X12" s="192" t="s">
        <v>315</v>
      </c>
      <c r="AA12" s="163"/>
      <c r="AB12" s="163"/>
      <c r="AC12" s="174"/>
      <c r="AD12" s="184"/>
      <c r="AE12" s="185"/>
      <c r="AF12" s="182"/>
      <c r="AG12" s="182"/>
      <c r="AH12" s="182"/>
      <c r="AI12" s="195"/>
      <c r="AJ12" s="182"/>
      <c r="AK12" s="174"/>
      <c r="AL12" s="174"/>
    </row>
    <row r="13" spans="1:38" ht="13.2" x14ac:dyDescent="0.25">
      <c r="A13" s="164"/>
      <c r="B13" s="178"/>
      <c r="C13" s="212"/>
      <c r="D13" s="213"/>
      <c r="E13" s="214"/>
      <c r="F13" s="214"/>
      <c r="G13" s="178"/>
      <c r="H13" s="178"/>
      <c r="I13" s="178"/>
      <c r="J13" s="178"/>
      <c r="K13" s="178"/>
      <c r="L13" s="178"/>
      <c r="M13" s="178"/>
      <c r="N13" s="178"/>
      <c r="O13" s="178"/>
      <c r="P13" s="178"/>
      <c r="AA13" s="163"/>
      <c r="AB13" s="163"/>
      <c r="AC13" s="174"/>
      <c r="AD13" s="184"/>
      <c r="AE13" s="185"/>
      <c r="AF13" s="182"/>
      <c r="AG13" s="182"/>
      <c r="AH13" s="182"/>
      <c r="AI13" s="182"/>
      <c r="AJ13" s="182"/>
      <c r="AK13" s="174"/>
      <c r="AL13" s="174"/>
    </row>
    <row r="14" spans="1:38" ht="26.4" x14ac:dyDescent="0.25">
      <c r="A14" s="164"/>
      <c r="B14" s="178"/>
      <c r="C14" s="212"/>
      <c r="D14" s="213"/>
      <c r="E14" s="214"/>
      <c r="F14" s="214"/>
      <c r="G14" s="178"/>
      <c r="H14" s="178"/>
      <c r="I14" s="178"/>
      <c r="J14" s="178"/>
      <c r="K14" s="178"/>
      <c r="L14" s="178"/>
      <c r="M14" s="178"/>
      <c r="N14" s="178"/>
      <c r="O14" s="178"/>
      <c r="P14" s="178"/>
      <c r="T14" s="155" t="s">
        <v>610</v>
      </c>
      <c r="V14" s="163"/>
      <c r="W14" s="163"/>
      <c r="X14" s="163"/>
      <c r="Y14" s="163"/>
      <c r="Z14" s="163"/>
      <c r="AA14" s="163"/>
      <c r="AB14" s="163"/>
      <c r="AC14" s="174"/>
      <c r="AD14" s="184"/>
      <c r="AE14" s="174"/>
      <c r="AF14" s="185"/>
      <c r="AG14" s="185"/>
      <c r="AH14" s="185"/>
      <c r="AI14" s="185"/>
      <c r="AJ14" s="185"/>
      <c r="AK14" s="174"/>
      <c r="AL14" s="174"/>
    </row>
    <row r="15" spans="1:38" ht="13.2" x14ac:dyDescent="0.25">
      <c r="A15" s="164"/>
      <c r="B15" s="178"/>
      <c r="C15" s="212"/>
      <c r="D15" s="213"/>
      <c r="E15" s="214"/>
      <c r="F15" s="214"/>
      <c r="G15" s="178"/>
      <c r="H15" s="178"/>
      <c r="I15" s="178"/>
      <c r="J15" s="178"/>
      <c r="K15" s="178"/>
      <c r="L15" s="178"/>
      <c r="M15" s="178"/>
      <c r="N15" s="178"/>
      <c r="O15" s="178"/>
      <c r="P15" s="178"/>
      <c r="T15" s="196" t="s">
        <v>315</v>
      </c>
      <c r="V15" s="163"/>
      <c r="W15" s="163"/>
      <c r="X15" s="163"/>
      <c r="Y15" s="163"/>
      <c r="Z15" s="163"/>
      <c r="AA15" s="163"/>
      <c r="AB15" s="163"/>
      <c r="AC15" s="174"/>
      <c r="AD15" s="174"/>
      <c r="AE15" s="174"/>
      <c r="AF15" s="182"/>
      <c r="AG15" s="182"/>
      <c r="AH15" s="182"/>
      <c r="AI15" s="182"/>
      <c r="AJ15" s="182"/>
      <c r="AK15" s="174"/>
      <c r="AL15" s="174"/>
    </row>
    <row r="16" spans="1:38" ht="13.2" x14ac:dyDescent="0.25">
      <c r="A16" s="164"/>
      <c r="B16" s="178"/>
      <c r="C16" s="212"/>
      <c r="D16" s="213"/>
      <c r="E16" s="214"/>
      <c r="F16" s="214"/>
      <c r="G16" s="178"/>
      <c r="H16" s="178"/>
      <c r="I16" s="178"/>
      <c r="J16" s="178"/>
      <c r="K16" s="178"/>
      <c r="L16" s="178"/>
      <c r="M16" s="178"/>
      <c r="N16" s="178"/>
      <c r="O16" s="178"/>
      <c r="P16" s="178"/>
      <c r="T16" s="179" t="s">
        <v>508</v>
      </c>
      <c r="U16" s="163"/>
      <c r="V16" s="163"/>
      <c r="W16" s="163"/>
      <c r="X16" s="163"/>
      <c r="Y16" s="163"/>
      <c r="Z16" s="163"/>
      <c r="AA16" s="163"/>
      <c r="AB16" s="163"/>
      <c r="AC16" s="174"/>
      <c r="AD16" s="174"/>
      <c r="AE16" s="174"/>
      <c r="AF16" s="182"/>
      <c r="AG16" s="182"/>
      <c r="AH16" s="182"/>
      <c r="AI16" s="182"/>
      <c r="AJ16" s="182"/>
      <c r="AK16" s="174"/>
      <c r="AL16" s="174"/>
    </row>
    <row r="17" spans="1:38" ht="13.2" x14ac:dyDescent="0.25">
      <c r="A17" s="164"/>
      <c r="B17" s="178"/>
      <c r="C17" s="212"/>
      <c r="D17" s="213"/>
      <c r="E17" s="214"/>
      <c r="F17" s="214"/>
      <c r="G17" s="178"/>
      <c r="H17" s="178"/>
      <c r="I17" s="178"/>
      <c r="J17" s="178"/>
      <c r="K17" s="178"/>
      <c r="L17" s="178"/>
      <c r="M17" s="178"/>
      <c r="N17" s="178"/>
      <c r="O17" s="178"/>
      <c r="P17" s="178"/>
      <c r="S17" s="197"/>
      <c r="T17" s="183" t="s">
        <v>193</v>
      </c>
      <c r="U17" s="197"/>
      <c r="V17" s="197"/>
      <c r="W17" s="197"/>
      <c r="X17" s="197"/>
      <c r="Y17" s="197"/>
      <c r="Z17" s="197"/>
      <c r="AA17" s="197"/>
      <c r="AB17" s="197"/>
      <c r="AC17" s="174"/>
      <c r="AD17" s="174"/>
      <c r="AE17" s="198"/>
      <c r="AF17" s="198"/>
      <c r="AG17" s="198"/>
      <c r="AH17" s="198"/>
      <c r="AI17" s="198"/>
      <c r="AJ17" s="198"/>
      <c r="AK17" s="174"/>
      <c r="AL17" s="174"/>
    </row>
    <row r="18" spans="1:38" ht="13.2" x14ac:dyDescent="0.25">
      <c r="A18" s="164"/>
      <c r="B18" s="178"/>
      <c r="C18" s="212"/>
      <c r="D18" s="213"/>
      <c r="E18" s="214"/>
      <c r="F18" s="214"/>
      <c r="G18" s="178"/>
      <c r="H18" s="178"/>
      <c r="I18" s="178"/>
      <c r="J18" s="178"/>
      <c r="K18" s="178"/>
      <c r="L18" s="178"/>
      <c r="M18" s="178"/>
      <c r="N18" s="178"/>
      <c r="O18" s="178"/>
      <c r="P18" s="178"/>
      <c r="S18" s="197"/>
      <c r="T18" s="187" t="s">
        <v>509</v>
      </c>
      <c r="AA18" s="197"/>
      <c r="AB18" s="197"/>
      <c r="AC18" s="174"/>
      <c r="AD18" s="174"/>
      <c r="AE18" s="174"/>
      <c r="AF18" s="182"/>
      <c r="AG18" s="182"/>
      <c r="AH18" s="182"/>
      <c r="AI18" s="182"/>
      <c r="AJ18" s="182"/>
      <c r="AK18" s="174"/>
      <c r="AL18" s="174"/>
    </row>
    <row r="19" spans="1:38" ht="13.2" x14ac:dyDescent="0.25">
      <c r="A19" s="164"/>
      <c r="B19" s="178"/>
      <c r="C19" s="212"/>
      <c r="D19" s="213"/>
      <c r="E19" s="214"/>
      <c r="F19" s="214"/>
      <c r="G19" s="178"/>
      <c r="H19" s="178"/>
      <c r="I19" s="178"/>
      <c r="J19" s="178"/>
      <c r="K19" s="178"/>
      <c r="L19" s="178"/>
      <c r="M19" s="178"/>
      <c r="N19" s="178"/>
      <c r="O19" s="178"/>
      <c r="P19" s="178"/>
      <c r="Q19" s="199"/>
      <c r="R19" s="199"/>
      <c r="S19" s="197"/>
      <c r="AA19" s="197"/>
      <c r="AB19" s="197"/>
      <c r="AC19" s="174"/>
      <c r="AD19" s="174"/>
      <c r="AE19" s="174"/>
      <c r="AF19" s="182"/>
      <c r="AG19" s="182"/>
      <c r="AH19" s="182"/>
      <c r="AI19" s="182"/>
      <c r="AJ19" s="182"/>
      <c r="AK19" s="174"/>
      <c r="AL19" s="174"/>
    </row>
    <row r="20" spans="1:38" ht="13.2" x14ac:dyDescent="0.25">
      <c r="A20" s="164"/>
      <c r="B20" s="178"/>
      <c r="C20" s="212"/>
      <c r="D20" s="213"/>
      <c r="E20" s="214"/>
      <c r="F20" s="214"/>
      <c r="G20" s="178"/>
      <c r="H20" s="178"/>
      <c r="I20" s="178"/>
      <c r="J20" s="178"/>
      <c r="K20" s="178"/>
      <c r="L20" s="178"/>
      <c r="M20" s="178"/>
      <c r="N20" s="178"/>
      <c r="O20" s="178"/>
      <c r="P20" s="178"/>
      <c r="Q20" s="199"/>
      <c r="R20" s="199"/>
      <c r="S20" s="200"/>
      <c r="AA20" s="197"/>
      <c r="AB20" s="197"/>
      <c r="AC20" s="174"/>
      <c r="AD20" s="195"/>
      <c r="AE20" s="195"/>
      <c r="AF20" s="195"/>
      <c r="AG20" s="195"/>
      <c r="AH20" s="195"/>
      <c r="AI20" s="195"/>
      <c r="AJ20" s="182"/>
      <c r="AK20" s="174"/>
      <c r="AL20" s="174"/>
    </row>
    <row r="21" spans="1:38" ht="13.2" x14ac:dyDescent="0.25">
      <c r="A21" s="164"/>
      <c r="B21" s="178"/>
      <c r="C21" s="212"/>
      <c r="D21" s="213"/>
      <c r="E21" s="214"/>
      <c r="F21" s="214"/>
      <c r="G21" s="178"/>
      <c r="H21" s="178"/>
      <c r="I21" s="178"/>
      <c r="J21" s="178"/>
      <c r="K21" s="178"/>
      <c r="L21" s="178"/>
      <c r="M21" s="178"/>
      <c r="N21" s="178"/>
      <c r="O21" s="178"/>
      <c r="P21" s="178"/>
      <c r="Q21" s="199"/>
      <c r="R21" s="199"/>
      <c r="AC21" s="174"/>
      <c r="AD21" s="201"/>
      <c r="AE21" s="201"/>
      <c r="AF21" s="201"/>
      <c r="AG21" s="201"/>
      <c r="AH21" s="201"/>
      <c r="AI21" s="201"/>
      <c r="AJ21" s="182"/>
      <c r="AK21" s="174"/>
      <c r="AL21" s="174"/>
    </row>
    <row r="22" spans="1:38" ht="13.2" x14ac:dyDescent="0.25">
      <c r="A22" s="164"/>
      <c r="B22" s="178"/>
      <c r="C22" s="212"/>
      <c r="D22" s="213"/>
      <c r="E22" s="214"/>
      <c r="F22" s="214"/>
      <c r="G22" s="178"/>
      <c r="H22" s="178"/>
      <c r="I22" s="178"/>
      <c r="J22" s="178"/>
      <c r="K22" s="178"/>
      <c r="L22" s="178"/>
      <c r="M22" s="178"/>
      <c r="N22" s="178"/>
      <c r="O22" s="178"/>
      <c r="P22" s="178"/>
      <c r="Q22" s="199"/>
      <c r="R22" s="199"/>
      <c r="AC22" s="174"/>
      <c r="AD22" s="195"/>
      <c r="AE22" s="195"/>
      <c r="AF22" s="195"/>
      <c r="AG22" s="195"/>
      <c r="AH22" s="195"/>
      <c r="AI22" s="195"/>
      <c r="AJ22" s="182"/>
      <c r="AK22" s="174"/>
      <c r="AL22" s="174"/>
    </row>
    <row r="23" spans="1:38" ht="13.2" x14ac:dyDescent="0.25">
      <c r="A23" s="164"/>
      <c r="B23" s="178"/>
      <c r="C23" s="212"/>
      <c r="D23" s="213"/>
      <c r="E23" s="214"/>
      <c r="F23" s="214"/>
      <c r="G23" s="178"/>
      <c r="H23" s="178"/>
      <c r="I23" s="178"/>
      <c r="J23" s="178"/>
      <c r="K23" s="178"/>
      <c r="L23" s="178"/>
      <c r="M23" s="178"/>
      <c r="N23" s="178"/>
      <c r="O23" s="178"/>
      <c r="P23" s="178"/>
      <c r="AC23" s="174"/>
      <c r="AD23" s="195"/>
      <c r="AE23" s="195"/>
      <c r="AF23" s="195"/>
      <c r="AG23" s="195"/>
      <c r="AH23" s="195"/>
      <c r="AI23" s="195"/>
      <c r="AJ23" s="182"/>
      <c r="AK23" s="174"/>
      <c r="AL23" s="174"/>
    </row>
    <row r="24" spans="1:38" ht="13.2" x14ac:dyDescent="0.3">
      <c r="A24" s="164"/>
      <c r="B24" s="178"/>
      <c r="C24" s="212"/>
      <c r="D24" s="213"/>
      <c r="E24" s="214"/>
      <c r="F24" s="214"/>
      <c r="G24" s="178"/>
      <c r="H24" s="178"/>
      <c r="I24" s="178"/>
      <c r="J24" s="178"/>
      <c r="K24" s="178"/>
      <c r="L24" s="178"/>
      <c r="M24" s="178"/>
      <c r="N24" s="178"/>
      <c r="O24" s="178"/>
      <c r="P24" s="178"/>
    </row>
    <row r="25" spans="1:38" ht="13.2" x14ac:dyDescent="0.3">
      <c r="A25" s="164"/>
      <c r="B25" s="178"/>
      <c r="C25" s="212"/>
      <c r="D25" s="213"/>
      <c r="E25" s="214"/>
      <c r="F25" s="214"/>
      <c r="G25" s="178"/>
      <c r="H25" s="178"/>
      <c r="I25" s="178"/>
      <c r="J25" s="178"/>
      <c r="K25" s="178"/>
      <c r="L25" s="178"/>
      <c r="M25" s="178"/>
      <c r="N25" s="178"/>
      <c r="O25" s="178"/>
      <c r="P25" s="178"/>
    </row>
    <row r="26" spans="1:38" ht="13.2" x14ac:dyDescent="0.3">
      <c r="A26" s="164"/>
      <c r="B26" s="178"/>
      <c r="C26" s="212"/>
      <c r="D26" s="213"/>
      <c r="E26" s="214"/>
      <c r="F26" s="214"/>
      <c r="G26" s="178"/>
      <c r="H26" s="178"/>
      <c r="I26" s="178"/>
      <c r="J26" s="178"/>
      <c r="K26" s="178"/>
      <c r="L26" s="178"/>
      <c r="M26" s="178"/>
      <c r="N26" s="178"/>
      <c r="O26" s="178"/>
      <c r="P26" s="178"/>
    </row>
    <row r="27" spans="1:38" ht="13.2" x14ac:dyDescent="0.3">
      <c r="A27" s="164"/>
      <c r="B27" s="178"/>
      <c r="C27" s="212"/>
      <c r="D27" s="213"/>
      <c r="E27" s="214"/>
      <c r="F27" s="214"/>
      <c r="G27" s="178"/>
      <c r="H27" s="178"/>
      <c r="I27" s="178"/>
      <c r="J27" s="178"/>
      <c r="K27" s="178"/>
      <c r="L27" s="178"/>
      <c r="M27" s="178"/>
      <c r="N27" s="178"/>
      <c r="O27" s="178"/>
      <c r="P27" s="178"/>
    </row>
    <row r="28" spans="1:38" ht="14.55" customHeight="1" x14ac:dyDescent="0.3">
      <c r="B28" s="160"/>
      <c r="D28" s="160"/>
      <c r="G28" s="160"/>
      <c r="H28" s="160"/>
      <c r="I28" s="160"/>
      <c r="J28" s="160"/>
      <c r="K28" s="160"/>
      <c r="L28" s="160"/>
      <c r="M28" s="160"/>
      <c r="N28" s="160"/>
      <c r="O28" s="160"/>
      <c r="P28" s="160"/>
      <c r="AA28" s="164"/>
      <c r="AB28" s="164"/>
      <c r="AC28" s="164"/>
      <c r="AD28" s="164"/>
      <c r="AE28" s="164"/>
      <c r="AF28" s="160"/>
      <c r="AG28" s="160"/>
      <c r="AH28" s="160"/>
      <c r="AI28" s="160"/>
      <c r="AJ28" s="160"/>
    </row>
    <row r="29" spans="1:38" ht="39" customHeight="1" x14ac:dyDescent="0.3">
      <c r="B29" s="160"/>
      <c r="D29" s="160"/>
      <c r="G29" s="160"/>
      <c r="H29" s="160"/>
      <c r="I29" s="160"/>
      <c r="J29" s="160"/>
      <c r="K29" s="160"/>
      <c r="L29" s="160"/>
      <c r="M29" s="160"/>
      <c r="N29" s="160"/>
      <c r="O29" s="160"/>
      <c r="P29" s="160"/>
      <c r="AA29" s="164"/>
      <c r="AB29" s="164"/>
      <c r="AC29" s="164"/>
      <c r="AD29" s="164"/>
      <c r="AE29" s="164"/>
      <c r="AF29" s="160"/>
      <c r="AG29" s="160"/>
      <c r="AH29" s="160"/>
      <c r="AI29" s="160"/>
      <c r="AJ29" s="160"/>
    </row>
    <row r="30" spans="1:38" ht="19.5" customHeight="1" x14ac:dyDescent="0.3">
      <c r="B30" s="160"/>
      <c r="D30" s="160"/>
      <c r="G30" s="160"/>
      <c r="H30" s="160"/>
      <c r="I30" s="160"/>
      <c r="J30" s="160"/>
      <c r="K30" s="160"/>
      <c r="L30" s="160"/>
      <c r="M30" s="160"/>
      <c r="N30" s="160"/>
      <c r="O30" s="160"/>
      <c r="P30" s="160"/>
      <c r="AA30" s="164"/>
      <c r="AB30" s="164"/>
      <c r="AC30" s="164"/>
      <c r="AD30" s="164"/>
      <c r="AE30" s="164"/>
      <c r="AF30" s="160"/>
      <c r="AG30" s="160"/>
      <c r="AH30" s="160"/>
      <c r="AI30" s="160"/>
      <c r="AJ30" s="160"/>
    </row>
    <row r="31" spans="1:38" ht="19.5" customHeight="1" x14ac:dyDescent="0.3">
      <c r="B31" s="160"/>
      <c r="D31" s="160"/>
      <c r="G31" s="160"/>
      <c r="H31" s="160"/>
      <c r="I31" s="160"/>
      <c r="J31" s="160"/>
      <c r="K31" s="160"/>
      <c r="L31" s="160"/>
      <c r="M31" s="160"/>
      <c r="N31" s="160"/>
      <c r="O31" s="160"/>
      <c r="P31" s="160"/>
      <c r="AA31" s="164"/>
      <c r="AB31" s="164"/>
      <c r="AC31" s="164"/>
      <c r="AD31" s="164"/>
      <c r="AE31" s="164"/>
      <c r="AF31" s="160"/>
      <c r="AG31" s="160"/>
      <c r="AH31" s="160"/>
      <c r="AI31" s="160"/>
      <c r="AJ31" s="160"/>
    </row>
    <row r="32" spans="1:38" ht="19.5" customHeight="1" x14ac:dyDescent="0.3">
      <c r="B32" s="160"/>
      <c r="D32" s="160"/>
      <c r="G32" s="160"/>
      <c r="H32" s="160"/>
      <c r="I32" s="160"/>
      <c r="J32" s="160"/>
      <c r="K32" s="160"/>
      <c r="L32" s="160"/>
      <c r="M32" s="160"/>
      <c r="N32" s="160"/>
      <c r="O32" s="160"/>
      <c r="P32" s="160"/>
      <c r="AA32" s="164"/>
      <c r="AB32" s="164"/>
      <c r="AC32" s="164"/>
      <c r="AD32" s="164"/>
      <c r="AE32" s="164"/>
      <c r="AF32" s="160"/>
      <c r="AG32" s="160"/>
      <c r="AH32" s="160"/>
      <c r="AI32" s="160"/>
      <c r="AJ32" s="160"/>
    </row>
    <row r="33" spans="2:36" ht="19.5" customHeight="1" x14ac:dyDescent="0.3">
      <c r="B33" s="160"/>
      <c r="D33" s="160"/>
      <c r="G33" s="160"/>
      <c r="H33" s="160"/>
      <c r="I33" s="160"/>
      <c r="J33" s="160"/>
      <c r="K33" s="160"/>
      <c r="L33" s="160"/>
      <c r="M33" s="160"/>
      <c r="N33" s="160"/>
      <c r="O33" s="160"/>
      <c r="P33" s="160"/>
      <c r="AA33" s="164"/>
      <c r="AB33" s="164"/>
      <c r="AC33" s="164"/>
      <c r="AD33" s="164"/>
      <c r="AE33" s="164"/>
      <c r="AF33" s="160"/>
      <c r="AG33" s="160"/>
      <c r="AH33" s="160"/>
      <c r="AI33" s="160"/>
      <c r="AJ33" s="160"/>
    </row>
    <row r="34" spans="2:36" ht="19.5" customHeight="1" x14ac:dyDescent="0.3">
      <c r="B34" s="160"/>
      <c r="D34" s="160"/>
      <c r="G34" s="160"/>
      <c r="H34" s="160"/>
      <c r="I34" s="160"/>
      <c r="J34" s="160"/>
      <c r="K34" s="160"/>
      <c r="L34" s="160"/>
      <c r="M34" s="160"/>
      <c r="N34" s="160"/>
      <c r="O34" s="160"/>
      <c r="P34" s="160"/>
      <c r="AA34" s="164"/>
      <c r="AB34" s="164"/>
      <c r="AC34" s="164"/>
      <c r="AD34" s="164"/>
      <c r="AE34" s="164"/>
      <c r="AF34" s="160"/>
      <c r="AG34" s="160"/>
      <c r="AH34" s="160"/>
      <c r="AI34" s="160"/>
      <c r="AJ34" s="160"/>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A2:D2"/>
    <mergeCell ref="B3:D3"/>
    <mergeCell ref="A5:G5"/>
    <mergeCell ref="I5:O5"/>
    <mergeCell ref="T5:X5"/>
    <mergeCell ref="C6:G6"/>
    <mergeCell ref="K6:O6"/>
    <mergeCell ref="A8:A12"/>
    <mergeCell ref="I8:I12"/>
    <mergeCell ref="Q8:Q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BD33E9D4-EDF1-4054-8E6E-5237E1D952FA}"/>
    <dataValidation allowBlank="1" showInputMessage="1" showErrorMessage="1" prompt="La probabilidad se encuentra determinada por una escala de 1 a 3, siendo 1 la menor probabilidad de ocurrencia del riesgo y 3 la mayor probabilidad de  ocurrencia." sqref="JC7" xr:uid="{3D93B075-ED1D-4A98-B3E5-60DFE31CD1E6}"/>
    <dataValidation type="list" allowBlank="1" showInputMessage="1" showErrorMessage="1" sqref="JD8:JJ15" xr:uid="{FBDB6D5B-EA5A-472A-8B1D-73008D483C2B}">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D186C-CDD0-4466-BA12-9CA6291FE755}">
  <dimension ref="A1:L26"/>
  <sheetViews>
    <sheetView showGridLines="0" zoomScale="85" zoomScaleNormal="85" workbookViewId="0">
      <selection activeCell="B20" sqref="B20"/>
    </sheetView>
  </sheetViews>
  <sheetFormatPr baseColWidth="10" defaultColWidth="0" defaultRowHeight="14.55" customHeight="1" zeroHeight="1" x14ac:dyDescent="0.3"/>
  <cols>
    <col min="1" max="1" width="30.4414062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35" customFormat="1" ht="8.25" customHeight="1" x14ac:dyDescent="0.25">
      <c r="A1" s="215"/>
      <c r="B1" s="215"/>
      <c r="C1" s="215"/>
      <c r="D1" s="143"/>
      <c r="F1" s="216"/>
    </row>
    <row r="2" spans="1:11" s="219" customFormat="1" ht="38.549999999999997" customHeight="1" x14ac:dyDescent="0.3">
      <c r="A2" s="441" t="s">
        <v>625</v>
      </c>
      <c r="B2" s="442"/>
      <c r="C2" s="442"/>
      <c r="D2" s="443"/>
      <c r="E2" s="217"/>
      <c r="F2" s="218"/>
    </row>
    <row r="3" spans="1:11" s="219" customFormat="1" ht="11.55" customHeight="1" x14ac:dyDescent="0.3">
      <c r="A3" s="220"/>
      <c r="B3" s="221"/>
      <c r="C3" s="221"/>
      <c r="D3" s="221"/>
      <c r="E3" s="217"/>
      <c r="F3" s="218"/>
    </row>
    <row r="4" spans="1:11" ht="21.45" customHeight="1" thickBot="1" x14ac:dyDescent="0.35">
      <c r="A4" s="222" t="s">
        <v>84</v>
      </c>
      <c r="B4" s="410" t="str">
        <f>'2. MATRIZ DE RIESGOS'!D6</f>
        <v>Gestión Estratégica</v>
      </c>
      <c r="C4" s="428"/>
      <c r="D4" s="428"/>
    </row>
    <row r="5" spans="1:11" ht="15" thickBot="1" x14ac:dyDescent="0.35">
      <c r="A5" s="444" t="s">
        <v>626</v>
      </c>
      <c r="B5" s="445"/>
      <c r="C5" s="445"/>
      <c r="D5" s="445"/>
      <c r="E5" s="445"/>
      <c r="F5" s="445"/>
      <c r="G5" s="445"/>
      <c r="H5" s="445"/>
      <c r="I5" s="445"/>
      <c r="J5" s="445"/>
      <c r="K5" s="446"/>
    </row>
    <row r="6" spans="1:11" ht="6" customHeight="1" thickBot="1" x14ac:dyDescent="0.35">
      <c r="A6" s="444"/>
      <c r="B6" s="445"/>
      <c r="C6" s="445"/>
      <c r="D6" s="445"/>
      <c r="E6" s="445"/>
      <c r="F6" s="445"/>
      <c r="G6" s="445"/>
      <c r="H6" s="445"/>
      <c r="I6" s="445"/>
      <c r="J6" s="445"/>
      <c r="K6" s="446"/>
    </row>
    <row r="7" spans="1:11" ht="34.5" customHeight="1" x14ac:dyDescent="0.3">
      <c r="A7" s="447" t="s">
        <v>627</v>
      </c>
      <c r="B7" s="448"/>
      <c r="C7" s="448"/>
      <c r="D7" s="448"/>
      <c r="E7" s="448"/>
      <c r="F7" s="448"/>
      <c r="G7" s="448"/>
      <c r="H7" s="448"/>
      <c r="I7" s="448"/>
      <c r="J7" s="448"/>
      <c r="K7" s="449"/>
    </row>
    <row r="8" spans="1:11" ht="18.75" customHeight="1" x14ac:dyDescent="0.3">
      <c r="A8" s="450" t="s">
        <v>628</v>
      </c>
      <c r="B8" s="451"/>
      <c r="C8" s="451"/>
      <c r="D8" s="451"/>
      <c r="E8" s="451"/>
      <c r="F8" s="451"/>
      <c r="G8" s="451"/>
      <c r="H8" s="451"/>
      <c r="I8" s="451"/>
      <c r="J8" s="451"/>
      <c r="K8" s="452"/>
    </row>
    <row r="9" spans="1:11" ht="34.5" customHeight="1" x14ac:dyDescent="0.3">
      <c r="A9" s="432" t="s">
        <v>629</v>
      </c>
      <c r="B9" s="433"/>
      <c r="C9" s="433"/>
      <c r="D9" s="433"/>
      <c r="E9" s="433"/>
      <c r="F9" s="433"/>
      <c r="G9" s="433"/>
      <c r="H9" s="433"/>
      <c r="I9" s="433"/>
      <c r="J9" s="433"/>
      <c r="K9" s="434"/>
    </row>
    <row r="10" spans="1:11" ht="50.25" customHeight="1" thickBot="1" x14ac:dyDescent="0.35">
      <c r="A10" s="435" t="s">
        <v>630</v>
      </c>
      <c r="B10" s="436"/>
      <c r="C10" s="436"/>
      <c r="D10" s="436"/>
      <c r="E10" s="436"/>
      <c r="F10" s="436"/>
      <c r="G10" s="436"/>
      <c r="H10" s="436"/>
      <c r="I10" s="436"/>
      <c r="J10" s="436"/>
      <c r="K10" s="437"/>
    </row>
    <row r="11" spans="1:11" ht="14.4" x14ac:dyDescent="0.3">
      <c r="A11" s="223"/>
      <c r="B11" s="223"/>
      <c r="C11" s="223"/>
      <c r="D11" s="223"/>
      <c r="E11" s="223"/>
      <c r="F11" s="223"/>
      <c r="G11" s="223"/>
      <c r="H11" s="223"/>
      <c r="I11" s="223"/>
      <c r="J11" s="223"/>
      <c r="K11" s="223"/>
    </row>
    <row r="12" spans="1:11" s="225" customFormat="1" ht="39.6" x14ac:dyDescent="0.3">
      <c r="A12" s="224"/>
      <c r="B12" s="438" t="s">
        <v>631</v>
      </c>
      <c r="C12" s="439"/>
      <c r="D12" s="440" t="s">
        <v>632</v>
      </c>
      <c r="E12" s="440"/>
      <c r="G12" s="155" t="s">
        <v>610</v>
      </c>
    </row>
    <row r="13" spans="1:11" ht="14.4" x14ac:dyDescent="0.3">
      <c r="A13" s="226" t="s">
        <v>633</v>
      </c>
      <c r="B13" s="227">
        <f>+COUNTIF('MAPA CALOR INHERENTE'!$E$6:$E$26,'4. PEFIL RIESGO DEL PROCESO'!G13)</f>
        <v>3</v>
      </c>
      <c r="C13" s="228">
        <f>+B13/$B$17</f>
        <v>0.23076923076923078</v>
      </c>
      <c r="D13" s="227">
        <f>+COUNTIF('MAPA CALOR RESIDUAL'!$G$7:$G$26,'4. PEFIL RIESGO DEL PROCESO'!G13)</f>
        <v>0</v>
      </c>
      <c r="E13" s="228">
        <f>+D13/$D$17</f>
        <v>0</v>
      </c>
      <c r="G13" s="196" t="s">
        <v>315</v>
      </c>
    </row>
    <row r="14" spans="1:11" ht="14.4" x14ac:dyDescent="0.3">
      <c r="A14" s="226" t="s">
        <v>634</v>
      </c>
      <c r="B14" s="227">
        <f>+COUNTIF('MAPA CALOR INHERENTE'!$E$6:$E$26,'4. PEFIL RIESGO DEL PROCESO'!G14)</f>
        <v>8</v>
      </c>
      <c r="C14" s="228">
        <f>+B14/$B$17</f>
        <v>0.61538461538461542</v>
      </c>
      <c r="D14" s="227">
        <f>+COUNTIF('MAPA CALOR RESIDUAL'!$G$7:$G$26,'4. PEFIL RIESGO DEL PROCESO'!G14)</f>
        <v>6</v>
      </c>
      <c r="E14" s="228">
        <f>+D14/$D$17</f>
        <v>0.46153846153846156</v>
      </c>
      <c r="G14" s="179" t="s">
        <v>508</v>
      </c>
    </row>
    <row r="15" spans="1:11" ht="14.4" x14ac:dyDescent="0.3">
      <c r="A15" s="226" t="s">
        <v>635</v>
      </c>
      <c r="B15" s="227">
        <f>+COUNTIF('MAPA CALOR INHERENTE'!$E$6:$E$26,'4. PEFIL RIESGO DEL PROCESO'!G15)</f>
        <v>2</v>
      </c>
      <c r="C15" s="228">
        <f>+B15/$B$17</f>
        <v>0.15384615384615385</v>
      </c>
      <c r="D15" s="227">
        <f>+COUNTIF('MAPA CALOR RESIDUAL'!$G$7:$G$26,'4. PEFIL RIESGO DEL PROCESO'!G15)</f>
        <v>7</v>
      </c>
      <c r="E15" s="228">
        <f>+D15/$D$17</f>
        <v>0.53846153846153844</v>
      </c>
      <c r="G15" s="183" t="s">
        <v>193</v>
      </c>
    </row>
    <row r="16" spans="1:11" ht="14.4" x14ac:dyDescent="0.3">
      <c r="A16" s="226" t="s">
        <v>636</v>
      </c>
      <c r="B16" s="227">
        <f>+COUNTIF('MAPA CALOR INHERENTE'!$E$6:$E$26,'4. PEFIL RIESGO DEL PROCESO'!G16)</f>
        <v>0</v>
      </c>
      <c r="C16" s="228">
        <f>+B16/$B$17</f>
        <v>0</v>
      </c>
      <c r="D16" s="227">
        <f>+COUNTIF('MAPA CALOR RESIDUAL'!$G$7:$G$26,'4. PEFIL RIESGO DEL PROCESO'!G16)</f>
        <v>0</v>
      </c>
      <c r="E16" s="228">
        <f>+D16/$D$17</f>
        <v>0</v>
      </c>
      <c r="G16" s="187" t="s">
        <v>509</v>
      </c>
    </row>
    <row r="17" spans="1:5" ht="14.4" x14ac:dyDescent="0.3">
      <c r="A17" s="226" t="s">
        <v>637</v>
      </c>
      <c r="B17" s="227">
        <f>+SUM(B13:B16)</f>
        <v>13</v>
      </c>
      <c r="C17" s="228">
        <f>+B17/$B$17</f>
        <v>1</v>
      </c>
      <c r="D17" s="227">
        <f>+SUM(D13:D16)</f>
        <v>13</v>
      </c>
      <c r="E17" s="228">
        <f>+D17/$D$17</f>
        <v>1</v>
      </c>
    </row>
    <row r="18" spans="1:5" ht="14.4" x14ac:dyDescent="0.3"/>
    <row r="19" spans="1:5" s="229" customFormat="1" ht="14.4" x14ac:dyDescent="0.3">
      <c r="B19" s="230" t="s">
        <v>631</v>
      </c>
      <c r="D19" s="230" t="s">
        <v>632</v>
      </c>
    </row>
    <row r="20" spans="1:5" s="229" customFormat="1" ht="41.7" customHeight="1" x14ac:dyDescent="0.3">
      <c r="B20" s="231" t="str">
        <f>+IF((B13/B17)&gt;=0.2,G13,+IF(((B13/B17)+(B14/B17))&gt;=0.3,G14,+IF(((B13/B17)+(B14/B17)+(B15/B17))&gt;=0.4,G15,+IF((B13/B17)+(B14/B17)+(B15/B17)+(B16/B17)&gt;=0.5,G16,""))))</f>
        <v>Extremo</v>
      </c>
      <c r="D20" s="231" t="str">
        <f>+IF((D13/D17)&gt;=0.2,G13,+IF(((D13/D17)+(D14/D17))&gt;=0.3,G14,+IF(((D13/D17)+(D14/D17)+(D15/D17))&gt;=0.4,G15,+IF((D13/D17)+(D14/D17)+(D15/D17)+(D16/D17)&gt;=0.5,G16,""))))</f>
        <v>Alto</v>
      </c>
    </row>
    <row r="21" spans="1:5" ht="14.4" x14ac:dyDescent="0.3"/>
    <row r="22" spans="1:5" ht="18" x14ac:dyDescent="0.35">
      <c r="D22" s="232" t="s">
        <v>638</v>
      </c>
      <c r="E22" s="233">
        <f>SUM(D13:D14)</f>
        <v>6</v>
      </c>
    </row>
    <row r="23" spans="1:5" ht="14.4" x14ac:dyDescent="0.3">
      <c r="D23" s="234"/>
      <c r="E23" s="235"/>
    </row>
    <row r="24" spans="1:5" ht="14.4" x14ac:dyDescent="0.3">
      <c r="D24" s="234"/>
      <c r="E24" s="235"/>
    </row>
    <row r="25" spans="1:5" ht="14.4" x14ac:dyDescent="0.3"/>
    <row r="26" spans="1:5" ht="14.4"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70" zoomScaleNormal="70" workbookViewId="0">
      <selection activeCell="C6" sqref="C6"/>
    </sheetView>
  </sheetViews>
  <sheetFormatPr baseColWidth="10" defaultColWidth="11.44140625" defaultRowHeight="14.4" x14ac:dyDescent="0.3"/>
  <cols>
    <col min="2" max="2" width="24.33203125" customWidth="1"/>
    <col min="3" max="3" width="70.33203125" customWidth="1"/>
    <col min="4" max="4" width="29.6640625" customWidth="1"/>
  </cols>
  <sheetData>
    <row r="1" spans="1:37" ht="23.4" x14ac:dyDescent="0.3">
      <c r="A1" s="8"/>
      <c r="B1" s="453" t="s">
        <v>510</v>
      </c>
      <c r="C1" s="453"/>
      <c r="D1" s="453"/>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8" t="s">
        <v>511</v>
      </c>
      <c r="D3" s="38" t="s">
        <v>195</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1" t="s">
        <v>319</v>
      </c>
      <c r="C4" s="39" t="s">
        <v>512</v>
      </c>
      <c r="D4" s="40">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2" t="s">
        <v>239</v>
      </c>
      <c r="C5" s="39" t="s">
        <v>513</v>
      </c>
      <c r="D5" s="40">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3" t="s">
        <v>192</v>
      </c>
      <c r="C6" s="39" t="s">
        <v>514</v>
      </c>
      <c r="D6" s="40">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4" t="s">
        <v>142</v>
      </c>
      <c r="C7" s="39" t="s">
        <v>515</v>
      </c>
      <c r="D7" s="40">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5" t="s">
        <v>217</v>
      </c>
      <c r="C8" s="39" t="s">
        <v>516</v>
      </c>
      <c r="D8" s="40">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70" zoomScaleNormal="70" workbookViewId="0">
      <selection activeCell="C17" sqref="C17"/>
    </sheetView>
  </sheetViews>
  <sheetFormatPr baseColWidth="10" defaultColWidth="11.44140625" defaultRowHeight="14.4" x14ac:dyDescent="0.3"/>
  <cols>
    <col min="2" max="2" width="40.44140625" customWidth="1"/>
    <col min="3" max="3" width="29.6640625" customWidth="1"/>
    <col min="4" max="5" width="47" customWidth="1"/>
    <col min="6" max="6" width="135" bestFit="1" customWidth="1"/>
    <col min="7" max="7" width="144.6640625" bestFit="1" customWidth="1"/>
  </cols>
  <sheetData>
    <row r="1" spans="1:23" ht="32.4" x14ac:dyDescent="0.3">
      <c r="A1" s="8"/>
      <c r="B1" s="31" t="s">
        <v>517</v>
      </c>
      <c r="C1" s="31"/>
      <c r="D1" s="29"/>
      <c r="E1" s="29"/>
      <c r="F1" s="31"/>
      <c r="G1" s="8"/>
      <c r="H1" s="8"/>
      <c r="I1" s="8"/>
      <c r="J1" s="8"/>
      <c r="K1" s="8"/>
      <c r="L1" s="8"/>
      <c r="M1" s="8"/>
      <c r="N1" s="8"/>
      <c r="O1" s="8"/>
      <c r="P1" s="8"/>
      <c r="Q1" s="8"/>
      <c r="R1" s="8"/>
      <c r="S1" s="8"/>
      <c r="T1" s="8"/>
      <c r="U1" s="8"/>
      <c r="V1" s="8"/>
      <c r="W1" s="8"/>
    </row>
    <row r="2" spans="1:23" x14ac:dyDescent="0.3">
      <c r="A2" s="8"/>
      <c r="B2" s="8"/>
      <c r="C2" s="8"/>
      <c r="D2" s="8"/>
      <c r="E2" s="8"/>
      <c r="F2" s="8"/>
      <c r="G2" s="8"/>
      <c r="H2" s="8"/>
      <c r="I2" s="8"/>
      <c r="J2" s="8"/>
      <c r="K2" s="8"/>
      <c r="L2" s="8"/>
      <c r="M2" s="8"/>
      <c r="N2" s="8"/>
      <c r="O2" s="8"/>
      <c r="P2" s="8"/>
      <c r="Q2" s="8"/>
      <c r="R2" s="8"/>
      <c r="S2" s="8"/>
      <c r="T2" s="8"/>
      <c r="U2" s="8"/>
      <c r="V2" s="8"/>
      <c r="W2" s="8"/>
    </row>
    <row r="3" spans="1:23" ht="21" thickBot="1" x14ac:dyDescent="0.35">
      <c r="A3" s="22"/>
      <c r="B3" s="22"/>
      <c r="C3" s="32"/>
      <c r="D3" s="32"/>
      <c r="E3" s="32"/>
      <c r="F3" s="32"/>
      <c r="G3" s="8"/>
      <c r="H3" s="8"/>
      <c r="I3" s="8"/>
      <c r="J3" s="8"/>
      <c r="K3" s="8"/>
      <c r="L3" s="8"/>
      <c r="M3" s="8"/>
      <c r="N3" s="8"/>
      <c r="O3" s="8"/>
      <c r="P3" s="8"/>
      <c r="Q3" s="8"/>
    </row>
    <row r="4" spans="1:23" ht="20.399999999999999" x14ac:dyDescent="0.3">
      <c r="A4" s="22"/>
      <c r="B4" s="454" t="s">
        <v>518</v>
      </c>
      <c r="C4" s="455"/>
      <c r="D4" s="455"/>
      <c r="E4" s="456"/>
      <c r="F4" s="32"/>
      <c r="G4" s="8"/>
      <c r="H4" s="8"/>
      <c r="I4" s="8"/>
      <c r="J4" s="8"/>
      <c r="K4" s="8"/>
      <c r="L4" s="8"/>
      <c r="M4" s="8"/>
      <c r="N4" s="8"/>
      <c r="O4" s="8"/>
      <c r="P4" s="8"/>
      <c r="Q4" s="8"/>
    </row>
    <row r="5" spans="1:23" ht="20.399999999999999" x14ac:dyDescent="0.3">
      <c r="A5" s="22"/>
      <c r="B5" s="118" t="s">
        <v>519</v>
      </c>
      <c r="C5" s="119" t="s">
        <v>520</v>
      </c>
      <c r="D5" s="119" t="s">
        <v>521</v>
      </c>
      <c r="E5" s="120" t="s">
        <v>522</v>
      </c>
      <c r="F5" s="32"/>
      <c r="G5" s="8"/>
      <c r="H5" s="8"/>
      <c r="I5" s="8"/>
      <c r="J5" s="8"/>
      <c r="K5" s="8"/>
      <c r="L5" s="8"/>
      <c r="M5" s="8"/>
      <c r="N5" s="8"/>
      <c r="O5" s="8"/>
      <c r="P5" s="8"/>
      <c r="Q5" s="8"/>
    </row>
    <row r="6" spans="1:23" ht="30" x14ac:dyDescent="0.3">
      <c r="A6" s="22"/>
      <c r="B6" s="121" t="s">
        <v>523</v>
      </c>
      <c r="C6" s="122">
        <v>0.2</v>
      </c>
      <c r="D6" s="123" t="s">
        <v>524</v>
      </c>
      <c r="E6" s="124" t="s">
        <v>525</v>
      </c>
      <c r="F6" s="32"/>
      <c r="G6" s="8"/>
      <c r="H6" s="8"/>
      <c r="I6" s="8"/>
      <c r="J6" s="8"/>
      <c r="K6" s="8"/>
      <c r="L6" s="8"/>
      <c r="M6" s="8"/>
      <c r="N6" s="8"/>
      <c r="O6" s="8"/>
      <c r="P6" s="8"/>
      <c r="Q6" s="8"/>
    </row>
    <row r="7" spans="1:23" ht="60" x14ac:dyDescent="0.3">
      <c r="A7" s="22"/>
      <c r="B7" s="125" t="s">
        <v>526</v>
      </c>
      <c r="C7" s="122">
        <v>0.4</v>
      </c>
      <c r="D7" s="126" t="s">
        <v>527</v>
      </c>
      <c r="E7" s="127" t="s">
        <v>528</v>
      </c>
      <c r="F7" s="32"/>
      <c r="G7" s="8"/>
      <c r="H7" s="8"/>
      <c r="I7" s="8"/>
      <c r="J7" s="8"/>
      <c r="K7" s="8"/>
      <c r="L7" s="8"/>
      <c r="M7" s="8"/>
      <c r="N7" s="8"/>
      <c r="O7" s="8"/>
      <c r="P7" s="8"/>
      <c r="Q7" s="8"/>
    </row>
    <row r="8" spans="1:23" ht="45" x14ac:dyDescent="0.3">
      <c r="A8" s="22"/>
      <c r="B8" s="128" t="s">
        <v>193</v>
      </c>
      <c r="C8" s="122">
        <v>0.6</v>
      </c>
      <c r="D8" s="126" t="s">
        <v>529</v>
      </c>
      <c r="E8" s="127" t="s">
        <v>530</v>
      </c>
      <c r="F8" s="32"/>
      <c r="G8" s="8"/>
      <c r="H8" s="8"/>
      <c r="I8" s="8"/>
      <c r="J8" s="8"/>
      <c r="K8" s="8"/>
      <c r="L8" s="8"/>
      <c r="M8" s="8"/>
      <c r="N8" s="8"/>
      <c r="O8" s="8"/>
      <c r="P8" s="8"/>
      <c r="Q8" s="8"/>
    </row>
    <row r="9" spans="1:23" ht="60" x14ac:dyDescent="0.3">
      <c r="A9" s="22"/>
      <c r="B9" s="129" t="s">
        <v>143</v>
      </c>
      <c r="C9" s="122">
        <v>0.8</v>
      </c>
      <c r="D9" s="126" t="s">
        <v>531</v>
      </c>
      <c r="E9" s="127" t="s">
        <v>532</v>
      </c>
      <c r="F9" s="32"/>
      <c r="G9" s="8"/>
      <c r="H9" s="8"/>
      <c r="I9" s="8"/>
      <c r="J9" s="8"/>
      <c r="K9" s="8"/>
      <c r="L9" s="8"/>
      <c r="M9" s="8"/>
      <c r="N9" s="8"/>
      <c r="O9" s="8"/>
      <c r="P9" s="8"/>
      <c r="Q9" s="8"/>
    </row>
    <row r="10" spans="1:23" ht="45" x14ac:dyDescent="0.3">
      <c r="A10" s="22"/>
      <c r="B10" s="130" t="s">
        <v>240</v>
      </c>
      <c r="C10" s="122">
        <v>1</v>
      </c>
      <c r="D10" s="126" t="s">
        <v>533</v>
      </c>
      <c r="E10" s="127" t="s">
        <v>534</v>
      </c>
      <c r="F10" s="32"/>
      <c r="G10" s="8"/>
      <c r="H10" s="8"/>
      <c r="I10" s="8"/>
      <c r="J10" s="8"/>
      <c r="K10" s="8"/>
      <c r="L10" s="8"/>
      <c r="M10" s="8"/>
      <c r="N10" s="8"/>
      <c r="O10" s="8"/>
      <c r="P10" s="8"/>
      <c r="Q10" s="8"/>
    </row>
    <row r="11" spans="1:23" ht="20.399999999999999" x14ac:dyDescent="0.3">
      <c r="A11" s="22"/>
      <c r="B11" s="22"/>
      <c r="C11" s="32"/>
      <c r="D11" s="32"/>
      <c r="E11" s="32"/>
      <c r="F11" s="32"/>
      <c r="G11" s="8"/>
      <c r="H11" s="8"/>
      <c r="I11" s="8"/>
      <c r="J11" s="8"/>
      <c r="K11" s="8"/>
      <c r="L11" s="8"/>
      <c r="M11" s="8"/>
      <c r="N11" s="8"/>
      <c r="O11" s="8"/>
      <c r="P11" s="8"/>
      <c r="Q11" s="8"/>
    </row>
    <row r="12" spans="1:23" ht="20.399999999999999" x14ac:dyDescent="0.3">
      <c r="A12" s="22"/>
      <c r="B12" s="22"/>
      <c r="C12" s="32"/>
      <c r="D12" s="32"/>
      <c r="E12" s="32"/>
      <c r="F12" s="32"/>
      <c r="G12" s="8"/>
      <c r="H12" s="8"/>
      <c r="I12" s="8"/>
      <c r="J12" s="8"/>
      <c r="K12" s="8"/>
      <c r="L12" s="8"/>
      <c r="M12" s="8"/>
      <c r="N12" s="8"/>
      <c r="O12" s="8"/>
      <c r="P12" s="8"/>
      <c r="Q12" s="8"/>
    </row>
    <row r="13" spans="1:23" ht="20.399999999999999" x14ac:dyDescent="0.3">
      <c r="A13" s="22"/>
      <c r="B13" s="22"/>
      <c r="C13" s="32"/>
      <c r="D13" s="32"/>
      <c r="E13" s="32"/>
      <c r="F13" s="32"/>
      <c r="G13" s="8"/>
      <c r="H13" s="8"/>
      <c r="I13" s="8"/>
      <c r="J13" s="8"/>
      <c r="K13" s="8"/>
      <c r="L13" s="8"/>
      <c r="M13" s="8"/>
      <c r="N13" s="8"/>
      <c r="O13" s="8"/>
      <c r="P13" s="8"/>
      <c r="Q13" s="8"/>
    </row>
    <row r="14" spans="1:23" ht="20.399999999999999" x14ac:dyDescent="0.3">
      <c r="A14" s="22"/>
      <c r="B14" s="22"/>
      <c r="C14" s="32"/>
      <c r="D14" s="32"/>
      <c r="E14" s="32"/>
      <c r="F14" s="32"/>
      <c r="G14" s="8"/>
      <c r="H14" s="8"/>
      <c r="I14" s="8"/>
      <c r="J14" s="8"/>
      <c r="K14" s="8"/>
      <c r="L14" s="8"/>
      <c r="M14" s="8"/>
      <c r="N14" s="8"/>
      <c r="O14" s="8"/>
      <c r="P14" s="8"/>
      <c r="Q14" s="8"/>
    </row>
    <row r="15" spans="1:23" ht="20.399999999999999" x14ac:dyDescent="0.3">
      <c r="A15" s="22"/>
      <c r="B15" s="22"/>
      <c r="C15" s="32"/>
      <c r="D15" s="32"/>
      <c r="E15" s="32"/>
      <c r="F15" s="32"/>
      <c r="G15" s="8"/>
      <c r="H15" s="8"/>
      <c r="I15" s="8"/>
      <c r="J15" s="8"/>
      <c r="K15" s="8"/>
      <c r="L15" s="8"/>
      <c r="M15" s="8"/>
      <c r="N15" s="8"/>
      <c r="O15" s="8"/>
      <c r="P15" s="8"/>
      <c r="Q15" s="8"/>
    </row>
    <row r="16" spans="1:23" ht="20.399999999999999" x14ac:dyDescent="0.3">
      <c r="A16" s="22"/>
      <c r="B16" s="22"/>
      <c r="C16" s="32"/>
      <c r="D16" s="32"/>
      <c r="E16" s="32"/>
      <c r="F16" s="32"/>
      <c r="G16" s="8"/>
      <c r="H16" s="8"/>
      <c r="I16" s="8"/>
      <c r="J16" s="8"/>
      <c r="K16" s="8"/>
      <c r="L16" s="8"/>
      <c r="M16" s="8"/>
      <c r="N16" s="8"/>
      <c r="O16" s="8"/>
      <c r="P16" s="8"/>
      <c r="Q16" s="8"/>
    </row>
    <row r="17" spans="1:17" ht="20.399999999999999" x14ac:dyDescent="0.3">
      <c r="A17" s="22"/>
      <c r="B17" s="22"/>
      <c r="C17" s="32"/>
      <c r="D17" s="32"/>
      <c r="E17" s="32"/>
      <c r="F17" s="32"/>
      <c r="G17" s="8"/>
      <c r="H17" s="8"/>
      <c r="I17" s="8"/>
      <c r="J17" s="8"/>
      <c r="K17" s="8"/>
      <c r="L17" s="8"/>
      <c r="M17" s="8"/>
      <c r="N17" s="8"/>
      <c r="O17" s="8"/>
      <c r="P17" s="8"/>
      <c r="Q17" s="8"/>
    </row>
    <row r="18" spans="1:17" ht="20.399999999999999" x14ac:dyDescent="0.3">
      <c r="A18" s="22"/>
      <c r="B18" s="22"/>
      <c r="C18" s="32"/>
      <c r="D18" s="32"/>
      <c r="E18" s="32"/>
      <c r="F18" s="32"/>
      <c r="G18" s="8"/>
      <c r="H18" s="8"/>
      <c r="I18" s="8"/>
      <c r="J18" s="8"/>
      <c r="K18" s="8"/>
      <c r="L18" s="8"/>
      <c r="M18" s="8"/>
      <c r="N18" s="8"/>
      <c r="O18" s="8"/>
      <c r="P18" s="8"/>
      <c r="Q18" s="8"/>
    </row>
    <row r="19" spans="1:17" ht="20.399999999999999" x14ac:dyDescent="0.3">
      <c r="A19" s="22"/>
      <c r="B19" s="22"/>
      <c r="C19" s="32"/>
      <c r="D19" s="32"/>
      <c r="E19" s="32"/>
      <c r="F19" s="32"/>
      <c r="G19" s="8"/>
      <c r="H19" s="8"/>
      <c r="I19" s="8"/>
      <c r="J19" s="8"/>
      <c r="K19" s="8"/>
      <c r="L19" s="8"/>
      <c r="M19" s="8"/>
      <c r="N19" s="8"/>
      <c r="O19" s="8"/>
      <c r="P19" s="8"/>
      <c r="Q19" s="8"/>
    </row>
    <row r="20" spans="1:17" ht="20.399999999999999" x14ac:dyDescent="0.3">
      <c r="A20" s="22"/>
      <c r="B20" s="5"/>
      <c r="C20" s="33"/>
      <c r="D20" s="33"/>
      <c r="E20" s="33"/>
      <c r="F20" s="33"/>
    </row>
    <row r="21" spans="1:17" ht="20.399999999999999" x14ac:dyDescent="0.3">
      <c r="A21" s="22"/>
      <c r="B21" s="5"/>
      <c r="C21" s="33"/>
      <c r="D21" s="33"/>
      <c r="E21" s="33"/>
      <c r="F21" s="33"/>
    </row>
    <row r="22" spans="1:17" ht="20.399999999999999" x14ac:dyDescent="0.3">
      <c r="A22" s="22"/>
      <c r="B22" s="5"/>
      <c r="C22" s="33"/>
      <c r="D22" s="33"/>
      <c r="E22" s="33"/>
      <c r="F22" s="33"/>
    </row>
    <row r="23" spans="1:17" ht="20.399999999999999" x14ac:dyDescent="0.3">
      <c r="A23" s="22"/>
      <c r="B23" s="5"/>
      <c r="C23" s="33"/>
      <c r="D23" s="33"/>
      <c r="E23" s="33"/>
      <c r="F23" s="33"/>
    </row>
    <row r="24" spans="1:17" ht="20.399999999999999" x14ac:dyDescent="0.3">
      <c r="A24" s="22"/>
      <c r="B24" s="5"/>
      <c r="C24" s="33"/>
      <c r="D24" s="33"/>
      <c r="E24" s="33"/>
      <c r="F24" s="33"/>
    </row>
    <row r="25" spans="1:17" ht="20.399999999999999" x14ac:dyDescent="0.3">
      <c r="A25" s="22"/>
      <c r="B25" s="5"/>
      <c r="C25" s="33"/>
      <c r="D25" s="33"/>
      <c r="E25" s="33"/>
      <c r="F25" s="33"/>
    </row>
    <row r="26" spans="1:17" ht="20.399999999999999" x14ac:dyDescent="0.3">
      <c r="A26" s="22"/>
      <c r="B26" s="5"/>
      <c r="C26" s="33"/>
      <c r="D26" s="33"/>
      <c r="E26" s="33"/>
      <c r="F26" s="33"/>
    </row>
    <row r="27" spans="1:17" ht="20.399999999999999" x14ac:dyDescent="0.3">
      <c r="A27" s="22"/>
      <c r="B27" s="5"/>
      <c r="C27" s="33"/>
      <c r="D27" s="33"/>
      <c r="E27" s="33"/>
      <c r="F27" s="33"/>
    </row>
    <row r="28" spans="1:17" ht="20.399999999999999" x14ac:dyDescent="0.3">
      <c r="A28" s="22"/>
      <c r="B28" s="5"/>
      <c r="C28" s="33"/>
      <c r="D28" s="33"/>
      <c r="E28" s="33"/>
      <c r="F28" s="33"/>
    </row>
    <row r="29" spans="1:17" ht="20.399999999999999" x14ac:dyDescent="0.3">
      <c r="A29" s="22"/>
      <c r="B29" s="5"/>
      <c r="C29" s="33"/>
      <c r="D29" s="33"/>
      <c r="E29" s="33"/>
      <c r="F29" s="33"/>
    </row>
    <row r="30" spans="1:17" ht="20.399999999999999" x14ac:dyDescent="0.3">
      <c r="A30" s="22"/>
      <c r="B30" s="5"/>
      <c r="C30" s="33"/>
      <c r="D30" s="33"/>
      <c r="E30" s="33"/>
      <c r="F30" s="33"/>
    </row>
    <row r="31" spans="1:17" ht="20.399999999999999" x14ac:dyDescent="0.3">
      <c r="A31" s="22"/>
      <c r="B31" s="5"/>
      <c r="C31" s="33"/>
      <c r="D31" s="33"/>
      <c r="E31" s="33"/>
      <c r="F31" s="33"/>
    </row>
    <row r="32" spans="1:17" ht="20.399999999999999" x14ac:dyDescent="0.3">
      <c r="A32" s="22"/>
      <c r="B32" s="5"/>
      <c r="C32" s="33"/>
      <c r="D32" s="33"/>
      <c r="E32" s="33"/>
      <c r="F32" s="33"/>
    </row>
    <row r="33" spans="1:6" ht="20.399999999999999" x14ac:dyDescent="0.3">
      <c r="A33" s="22"/>
      <c r="B33" s="5"/>
      <c r="C33" s="33"/>
      <c r="D33" s="33"/>
      <c r="E33" s="33"/>
      <c r="F33" s="33"/>
    </row>
    <row r="34" spans="1:6" ht="20.399999999999999" x14ac:dyDescent="0.3">
      <c r="A34" s="22"/>
      <c r="B34" s="5"/>
      <c r="C34" s="33"/>
      <c r="D34" s="33"/>
      <c r="E34" s="33"/>
      <c r="F34" s="33"/>
    </row>
    <row r="35" spans="1:6" ht="20.399999999999999" x14ac:dyDescent="0.3">
      <c r="A35" s="22"/>
      <c r="B35" s="5"/>
      <c r="C35" s="33"/>
      <c r="D35" s="33"/>
      <c r="E35" s="33"/>
      <c r="F35" s="33"/>
    </row>
    <row r="36" spans="1:6" ht="20.399999999999999" x14ac:dyDescent="0.3">
      <c r="A36" s="22"/>
      <c r="B36" s="5"/>
      <c r="C36" s="33"/>
      <c r="D36" s="33"/>
      <c r="E36" s="33"/>
      <c r="F36" s="33"/>
    </row>
    <row r="37" spans="1:6" ht="20.399999999999999" x14ac:dyDescent="0.3">
      <c r="A37" s="22"/>
      <c r="B37" s="5"/>
      <c r="C37" s="33"/>
      <c r="D37" s="33"/>
      <c r="E37" s="33"/>
      <c r="F37" s="33"/>
    </row>
    <row r="38" spans="1:6" ht="20.399999999999999" x14ac:dyDescent="0.3">
      <c r="A38" s="22"/>
      <c r="B38" s="5"/>
      <c r="C38" s="33"/>
      <c r="D38" s="33"/>
      <c r="E38" s="33"/>
      <c r="F38" s="33"/>
    </row>
    <row r="39" spans="1:6" ht="20.399999999999999" x14ac:dyDescent="0.3">
      <c r="A39" s="22"/>
      <c r="B39" s="5"/>
      <c r="C39" s="33"/>
      <c r="D39" s="33"/>
      <c r="E39" s="33"/>
      <c r="F39" s="33"/>
    </row>
    <row r="40" spans="1:6" ht="20.399999999999999" x14ac:dyDescent="0.3">
      <c r="A40" s="22"/>
      <c r="B40" s="5"/>
      <c r="C40" s="33"/>
      <c r="D40" s="33"/>
      <c r="E40" s="33"/>
      <c r="F40" s="33"/>
    </row>
    <row r="41" spans="1:6" ht="20.399999999999999" x14ac:dyDescent="0.3">
      <c r="A41" s="22"/>
      <c r="B41" s="5"/>
      <c r="C41" s="33"/>
      <c r="D41" s="33"/>
      <c r="E41" s="33"/>
      <c r="F41" s="33"/>
    </row>
    <row r="42" spans="1:6" ht="20.399999999999999" x14ac:dyDescent="0.3">
      <c r="A42" s="22"/>
      <c r="B42" s="5"/>
      <c r="C42" s="33"/>
      <c r="D42" s="33"/>
      <c r="E42" s="33"/>
      <c r="F42" s="33"/>
    </row>
    <row r="43" spans="1:6" ht="20.399999999999999" x14ac:dyDescent="0.3">
      <c r="A43" s="22"/>
      <c r="B43" s="5"/>
      <c r="C43" s="33"/>
      <c r="D43" s="33"/>
      <c r="E43" s="33"/>
      <c r="F43" s="33"/>
    </row>
    <row r="44" spans="1:6" ht="20.399999999999999" x14ac:dyDescent="0.3">
      <c r="A44" s="22"/>
      <c r="B44" s="5"/>
      <c r="C44" s="33"/>
      <c r="D44" s="33"/>
      <c r="E44" s="33"/>
      <c r="F44" s="33"/>
    </row>
    <row r="45" spans="1:6" ht="20.399999999999999" x14ac:dyDescent="0.3">
      <c r="A45" s="22"/>
      <c r="B45" s="5"/>
      <c r="C45" s="33"/>
      <c r="D45" s="33"/>
      <c r="E45" s="33"/>
      <c r="F45" s="33"/>
    </row>
    <row r="46" spans="1:6" ht="20.399999999999999" x14ac:dyDescent="0.3">
      <c r="A46" s="22"/>
      <c r="B46" s="5"/>
      <c r="C46" s="33"/>
      <c r="D46" s="33"/>
      <c r="E46" s="33"/>
      <c r="F46" s="33"/>
    </row>
    <row r="47" spans="1:6" ht="20.399999999999999" x14ac:dyDescent="0.3">
      <c r="A47" s="22"/>
      <c r="B47" s="5"/>
      <c r="C47" s="33"/>
      <c r="D47" s="33"/>
      <c r="E47" s="33"/>
      <c r="F47" s="33"/>
    </row>
    <row r="48" spans="1:6" ht="20.399999999999999" x14ac:dyDescent="0.3">
      <c r="A48" s="22"/>
      <c r="B48" s="5"/>
      <c r="C48" s="33"/>
      <c r="D48" s="33"/>
      <c r="E48" s="33"/>
      <c r="F48" s="33"/>
    </row>
    <row r="49" spans="1:6" ht="20.399999999999999" x14ac:dyDescent="0.3">
      <c r="A49" s="22"/>
      <c r="B49" s="5"/>
      <c r="C49" s="33"/>
      <c r="D49" s="33"/>
      <c r="E49" s="33"/>
      <c r="F49" s="33"/>
    </row>
    <row r="50" spans="1:6" ht="20.399999999999999" x14ac:dyDescent="0.3">
      <c r="A50" s="22"/>
      <c r="B50" s="5"/>
      <c r="C50" s="33"/>
      <c r="D50" s="33"/>
      <c r="E50" s="33"/>
      <c r="F50" s="33"/>
    </row>
    <row r="51" spans="1:6" ht="20.399999999999999" x14ac:dyDescent="0.3">
      <c r="A51" s="22"/>
      <c r="B51" s="5"/>
      <c r="C51" s="33"/>
      <c r="D51" s="33"/>
      <c r="E51" s="33"/>
      <c r="F51" s="33"/>
    </row>
    <row r="52" spans="1:6" ht="20.399999999999999" x14ac:dyDescent="0.3">
      <c r="A52" s="22"/>
      <c r="B52" s="5"/>
      <c r="C52" s="33"/>
      <c r="D52" s="33"/>
      <c r="E52" s="33"/>
      <c r="F52" s="33"/>
    </row>
    <row r="53" spans="1:6" ht="20.399999999999999" x14ac:dyDescent="0.3">
      <c r="A53" s="22"/>
      <c r="B53" s="5"/>
      <c r="C53" s="33"/>
      <c r="D53" s="33"/>
      <c r="E53" s="33"/>
      <c r="F53" s="33"/>
    </row>
    <row r="54" spans="1:6" ht="20.399999999999999" x14ac:dyDescent="0.3">
      <c r="A54" s="22"/>
      <c r="B54" s="5"/>
      <c r="C54" s="33"/>
      <c r="D54" s="33"/>
      <c r="E54" s="33"/>
      <c r="F54" s="33"/>
    </row>
    <row r="55" spans="1:6" ht="20.399999999999999" x14ac:dyDescent="0.3">
      <c r="A55" s="22"/>
      <c r="B55" s="5"/>
      <c r="C55" s="33"/>
      <c r="D55" s="33"/>
      <c r="E55" s="33"/>
      <c r="F55" s="33"/>
    </row>
    <row r="56" spans="1:6" ht="20.399999999999999" x14ac:dyDescent="0.3">
      <c r="A56" s="22"/>
      <c r="B56" s="5"/>
      <c r="C56" s="33"/>
      <c r="D56" s="33"/>
      <c r="E56" s="33"/>
      <c r="F56" s="33"/>
    </row>
    <row r="57" spans="1:6" ht="20.399999999999999" x14ac:dyDescent="0.3">
      <c r="A57" s="22"/>
      <c r="B57" s="5"/>
      <c r="C57" s="33"/>
      <c r="D57" s="33"/>
      <c r="E57" s="33"/>
      <c r="F57" s="33"/>
    </row>
    <row r="58" spans="1:6" ht="20.399999999999999" x14ac:dyDescent="0.3">
      <c r="A58" s="22"/>
      <c r="B58" s="5"/>
      <c r="C58" s="33"/>
      <c r="D58" s="33"/>
      <c r="E58" s="33"/>
      <c r="F58" s="33"/>
    </row>
    <row r="59" spans="1:6" ht="20.399999999999999" x14ac:dyDescent="0.3">
      <c r="A59" s="22"/>
      <c r="B59" s="5"/>
      <c r="C59" s="33"/>
      <c r="D59" s="33"/>
      <c r="E59" s="33"/>
      <c r="F59" s="33"/>
    </row>
    <row r="60" spans="1:6" ht="20.399999999999999" x14ac:dyDescent="0.3">
      <c r="A60" s="22"/>
      <c r="B60" s="5"/>
      <c r="C60" s="33"/>
      <c r="D60" s="33"/>
      <c r="E60" s="33"/>
      <c r="F60" s="33"/>
    </row>
    <row r="61" spans="1:6" ht="20.399999999999999" x14ac:dyDescent="0.3">
      <c r="A61" s="22"/>
      <c r="B61" s="5"/>
      <c r="C61" s="33"/>
      <c r="D61" s="33"/>
      <c r="E61" s="33"/>
      <c r="F61" s="33"/>
    </row>
    <row r="62" spans="1:6" ht="20.399999999999999" x14ac:dyDescent="0.3">
      <c r="A62" s="22"/>
      <c r="B62" s="5"/>
      <c r="C62" s="33"/>
      <c r="D62" s="33"/>
      <c r="E62" s="33"/>
      <c r="F62" s="33"/>
    </row>
    <row r="63" spans="1:6" ht="20.399999999999999" x14ac:dyDescent="0.3">
      <c r="A63" s="22"/>
      <c r="B63" s="5"/>
      <c r="C63" s="33"/>
      <c r="D63" s="33"/>
      <c r="E63" s="33"/>
      <c r="F63" s="33"/>
    </row>
    <row r="64" spans="1:6" ht="20.399999999999999" x14ac:dyDescent="0.3">
      <c r="A64" s="22"/>
      <c r="B64" s="5"/>
      <c r="C64" s="33"/>
      <c r="D64" s="33"/>
      <c r="E64" s="33"/>
      <c r="F64" s="33"/>
    </row>
    <row r="65" spans="1:6" ht="20.399999999999999" x14ac:dyDescent="0.3">
      <c r="A65" s="22"/>
      <c r="B65" s="5"/>
      <c r="C65" s="33"/>
      <c r="D65" s="33"/>
      <c r="E65" s="33"/>
      <c r="F65" s="33"/>
    </row>
    <row r="66" spans="1:6" ht="20.399999999999999" x14ac:dyDescent="0.3">
      <c r="A66" s="22"/>
      <c r="B66" s="5"/>
      <c r="C66" s="33"/>
      <c r="D66" s="33"/>
      <c r="E66" s="33"/>
      <c r="F66" s="33"/>
    </row>
    <row r="67" spans="1:6" ht="20.399999999999999" x14ac:dyDescent="0.3">
      <c r="A67" s="22"/>
      <c r="B67" s="5"/>
      <c r="C67" s="33"/>
      <c r="D67" s="33"/>
      <c r="E67" s="33"/>
      <c r="F67" s="33"/>
    </row>
    <row r="68" spans="1:6" ht="20.399999999999999" x14ac:dyDescent="0.3">
      <c r="A68" s="22"/>
      <c r="B68" s="5"/>
      <c r="C68" s="33"/>
      <c r="D68" s="33"/>
      <c r="E68" s="33"/>
      <c r="F68" s="33"/>
    </row>
    <row r="69" spans="1:6" ht="20.399999999999999" x14ac:dyDescent="0.3">
      <c r="A69" s="22"/>
      <c r="B69" s="5"/>
      <c r="C69" s="33"/>
      <c r="D69" s="33"/>
      <c r="E69" s="33"/>
      <c r="F69" s="33"/>
    </row>
    <row r="70" spans="1:6" ht="20.399999999999999" x14ac:dyDescent="0.3">
      <c r="A70" s="22"/>
      <c r="B70" s="5"/>
      <c r="C70" s="33"/>
      <c r="D70" s="33"/>
      <c r="E70" s="33"/>
      <c r="F70" s="33"/>
    </row>
    <row r="71" spans="1:6" ht="20.399999999999999" x14ac:dyDescent="0.3">
      <c r="A71" s="22"/>
      <c r="B71" s="5"/>
      <c r="C71" s="33"/>
      <c r="D71" s="33"/>
      <c r="E71" s="33"/>
      <c r="F71" s="33"/>
    </row>
    <row r="72" spans="1:6" ht="20.399999999999999" x14ac:dyDescent="0.3">
      <c r="A72" s="22"/>
      <c r="B72" s="5"/>
      <c r="C72" s="33"/>
      <c r="D72" s="33"/>
      <c r="E72" s="33"/>
      <c r="F72" s="33"/>
    </row>
    <row r="73" spans="1:6" ht="20.399999999999999" x14ac:dyDescent="0.3">
      <c r="A73" s="22"/>
      <c r="B73" s="5"/>
      <c r="C73" s="33"/>
      <c r="D73" s="33"/>
      <c r="E73" s="33"/>
      <c r="F73" s="33"/>
    </row>
    <row r="74" spans="1:6" ht="20.399999999999999" x14ac:dyDescent="0.3">
      <c r="A74" s="22"/>
      <c r="B74" s="5"/>
      <c r="C74" s="33"/>
      <c r="D74" s="33"/>
      <c r="E74" s="33"/>
      <c r="F74" s="33"/>
    </row>
    <row r="75" spans="1:6" ht="20.399999999999999" x14ac:dyDescent="0.3">
      <c r="A75" s="22"/>
      <c r="B75" s="5"/>
      <c r="C75" s="33"/>
      <c r="D75" s="33"/>
      <c r="E75" s="33"/>
      <c r="F75" s="33"/>
    </row>
    <row r="76" spans="1:6" ht="20.399999999999999" x14ac:dyDescent="0.3">
      <c r="A76" s="22"/>
      <c r="B76" s="5"/>
      <c r="C76" s="33"/>
      <c r="D76" s="33"/>
      <c r="E76" s="33"/>
      <c r="F76" s="33"/>
    </row>
    <row r="77" spans="1:6" ht="20.399999999999999" x14ac:dyDescent="0.3">
      <c r="A77" s="22"/>
      <c r="B77" s="5"/>
      <c r="C77" s="33"/>
      <c r="D77" s="33"/>
      <c r="E77" s="33"/>
      <c r="F77" s="33"/>
    </row>
    <row r="78" spans="1:6" ht="20.399999999999999" x14ac:dyDescent="0.3">
      <c r="A78" s="22"/>
      <c r="B78" s="5"/>
      <c r="C78" s="33"/>
      <c r="D78" s="33"/>
      <c r="E78" s="33"/>
      <c r="F78" s="33"/>
    </row>
    <row r="79" spans="1:6" ht="20.399999999999999" x14ac:dyDescent="0.3">
      <c r="A79" s="22"/>
      <c r="B79" s="5"/>
      <c r="C79" s="33"/>
      <c r="D79" s="33"/>
      <c r="E79" s="33"/>
      <c r="F79" s="33"/>
    </row>
    <row r="80" spans="1:6" ht="20.399999999999999" x14ac:dyDescent="0.3">
      <c r="A80" s="22"/>
      <c r="B80" s="5"/>
      <c r="C80" s="33"/>
      <c r="D80" s="33"/>
      <c r="E80" s="33"/>
      <c r="F80" s="33"/>
    </row>
    <row r="81" spans="1:6" ht="20.399999999999999" x14ac:dyDescent="0.3">
      <c r="A81" s="22"/>
      <c r="B81" s="5"/>
      <c r="C81" s="33"/>
      <c r="D81" s="33"/>
      <c r="E81" s="33"/>
      <c r="F81" s="33"/>
    </row>
    <row r="82" spans="1:6" ht="20.399999999999999" x14ac:dyDescent="0.3">
      <c r="A82" s="22"/>
      <c r="B82" s="5"/>
      <c r="C82" s="33"/>
      <c r="D82" s="33"/>
      <c r="E82" s="33"/>
      <c r="F82" s="33"/>
    </row>
    <row r="83" spans="1:6" ht="20.399999999999999" x14ac:dyDescent="0.3">
      <c r="A83" s="22"/>
      <c r="B83" s="5"/>
      <c r="C83" s="33"/>
      <c r="D83" s="33"/>
      <c r="E83" s="33"/>
      <c r="F83" s="33"/>
    </row>
    <row r="84" spans="1:6" ht="20.399999999999999" x14ac:dyDescent="0.3">
      <c r="A84" s="22"/>
      <c r="B84" s="5"/>
      <c r="C84" s="33"/>
      <c r="D84" s="33"/>
      <c r="E84" s="33"/>
      <c r="F84" s="33"/>
    </row>
    <row r="85" spans="1:6" ht="20.399999999999999" x14ac:dyDescent="0.3">
      <c r="A85" s="22"/>
      <c r="B85" s="5"/>
      <c r="C85" s="33"/>
      <c r="D85" s="33"/>
      <c r="E85" s="33"/>
      <c r="F85" s="33"/>
    </row>
    <row r="86" spans="1:6" ht="20.399999999999999" x14ac:dyDescent="0.3">
      <c r="A86" s="22"/>
      <c r="B86" s="5"/>
      <c r="C86" s="33"/>
      <c r="D86" s="33"/>
      <c r="E86" s="33"/>
      <c r="F86" s="33"/>
    </row>
    <row r="87" spans="1:6" ht="20.399999999999999" x14ac:dyDescent="0.3">
      <c r="A87" s="22"/>
      <c r="B87" s="5"/>
      <c r="C87" s="33"/>
      <c r="D87" s="33"/>
      <c r="E87" s="33"/>
      <c r="F87" s="33"/>
    </row>
    <row r="88" spans="1:6" ht="20.399999999999999" x14ac:dyDescent="0.3">
      <c r="A88" s="22"/>
      <c r="B88" s="5"/>
      <c r="C88" s="33"/>
      <c r="D88" s="33"/>
      <c r="E88" s="33"/>
      <c r="F88" s="33"/>
    </row>
    <row r="89" spans="1:6" ht="20.399999999999999" x14ac:dyDescent="0.3">
      <c r="A89" s="22"/>
      <c r="B89" s="5"/>
      <c r="C89" s="33"/>
      <c r="D89" s="33"/>
      <c r="E89" s="33"/>
      <c r="F89" s="33"/>
    </row>
    <row r="90" spans="1:6" ht="20.399999999999999" x14ac:dyDescent="0.3">
      <c r="A90" s="22"/>
      <c r="B90" s="5"/>
      <c r="C90" s="33"/>
      <c r="D90" s="33"/>
      <c r="E90" s="33"/>
      <c r="F90" s="33"/>
    </row>
    <row r="91" spans="1:6" ht="20.399999999999999" x14ac:dyDescent="0.3">
      <c r="A91" s="22"/>
      <c r="B91" s="5"/>
      <c r="C91" s="33"/>
      <c r="D91" s="33"/>
      <c r="E91" s="33"/>
      <c r="F91" s="33"/>
    </row>
    <row r="92" spans="1:6" ht="20.399999999999999" x14ac:dyDescent="0.3">
      <c r="A92" s="22"/>
      <c r="B92" s="5"/>
      <c r="C92" s="33"/>
      <c r="D92" s="33"/>
      <c r="E92" s="33"/>
      <c r="F92" s="33"/>
    </row>
    <row r="93" spans="1:6" ht="20.399999999999999" x14ac:dyDescent="0.3">
      <c r="A93" s="22"/>
      <c r="B93" s="5"/>
      <c r="C93" s="33"/>
      <c r="D93" s="33"/>
      <c r="E93" s="33"/>
      <c r="F93" s="33"/>
    </row>
    <row r="94" spans="1:6" ht="20.399999999999999" x14ac:dyDescent="0.3">
      <c r="A94" s="22"/>
      <c r="B94" s="5"/>
      <c r="C94" s="33"/>
      <c r="D94" s="33"/>
      <c r="E94" s="33"/>
      <c r="F94" s="33"/>
    </row>
    <row r="95" spans="1:6" ht="20.399999999999999" x14ac:dyDescent="0.3">
      <c r="A95" s="22"/>
      <c r="B95" s="5"/>
      <c r="C95" s="33"/>
      <c r="D95" s="33"/>
      <c r="E95" s="33"/>
      <c r="F95" s="33"/>
    </row>
    <row r="96" spans="1:6" ht="20.399999999999999" x14ac:dyDescent="0.3">
      <c r="A96" s="22"/>
      <c r="B96" s="5"/>
      <c r="C96" s="33"/>
      <c r="D96" s="33"/>
      <c r="E96" s="33"/>
      <c r="F96" s="33"/>
    </row>
    <row r="97" spans="1:6" ht="20.399999999999999" x14ac:dyDescent="0.3">
      <c r="A97" s="22"/>
      <c r="B97" s="5"/>
      <c r="C97" s="33"/>
      <c r="D97" s="33"/>
      <c r="E97" s="33"/>
      <c r="F97" s="33"/>
    </row>
    <row r="98" spans="1:6" ht="20.399999999999999" x14ac:dyDescent="0.3">
      <c r="A98" s="22"/>
      <c r="B98" s="5"/>
      <c r="C98" s="33"/>
      <c r="D98" s="33"/>
      <c r="E98" s="33"/>
      <c r="F98" s="33"/>
    </row>
    <row r="99" spans="1:6" ht="20.399999999999999" x14ac:dyDescent="0.3">
      <c r="A99" s="22"/>
      <c r="B99" s="5"/>
      <c r="C99" s="33"/>
      <c r="D99" s="33"/>
      <c r="E99" s="33"/>
      <c r="F99" s="33"/>
    </row>
    <row r="100" spans="1:6" ht="20.399999999999999" x14ac:dyDescent="0.3">
      <c r="A100" s="22"/>
      <c r="B100" s="5"/>
      <c r="C100" s="33"/>
      <c r="D100" s="33"/>
      <c r="E100" s="33"/>
      <c r="F100" s="33"/>
    </row>
    <row r="101" spans="1:6" ht="20.399999999999999" x14ac:dyDescent="0.3">
      <c r="A101" s="22"/>
      <c r="B101" s="5"/>
      <c r="C101" s="33"/>
      <c r="D101" s="33"/>
      <c r="E101" s="33"/>
      <c r="F101" s="33"/>
    </row>
    <row r="102" spans="1:6" ht="20.399999999999999" x14ac:dyDescent="0.3">
      <c r="A102" s="22"/>
      <c r="B102" s="5"/>
      <c r="C102" s="33"/>
      <c r="D102" s="33"/>
      <c r="E102" s="33"/>
      <c r="F102" s="33"/>
    </row>
    <row r="103" spans="1:6" ht="20.399999999999999" x14ac:dyDescent="0.3">
      <c r="A103" s="22"/>
      <c r="B103" s="5"/>
      <c r="C103" s="33"/>
      <c r="D103" s="33"/>
      <c r="E103" s="33"/>
      <c r="F103" s="33"/>
    </row>
    <row r="104" spans="1:6" ht="20.399999999999999" x14ac:dyDescent="0.3">
      <c r="A104" s="22"/>
      <c r="B104" s="5"/>
      <c r="C104" s="33"/>
      <c r="D104" s="33"/>
      <c r="E104" s="33"/>
      <c r="F104" s="33"/>
    </row>
    <row r="105" spans="1:6" ht="20.399999999999999" x14ac:dyDescent="0.3">
      <c r="A105" s="22"/>
      <c r="B105" s="5"/>
      <c r="C105" s="33"/>
      <c r="D105" s="33"/>
      <c r="E105" s="33"/>
      <c r="F105" s="33"/>
    </row>
    <row r="106" spans="1:6" ht="20.399999999999999" x14ac:dyDescent="0.3">
      <c r="A106" s="22"/>
      <c r="B106" s="5"/>
      <c r="C106" s="33"/>
      <c r="D106" s="33"/>
      <c r="E106" s="33"/>
      <c r="F106" s="33"/>
    </row>
    <row r="107" spans="1:6" ht="20.399999999999999" x14ac:dyDescent="0.3">
      <c r="A107" s="22"/>
      <c r="B107" s="5"/>
      <c r="C107" s="33"/>
      <c r="D107" s="33"/>
      <c r="E107" s="33"/>
      <c r="F107" s="33"/>
    </row>
    <row r="108" spans="1:6" ht="20.399999999999999" x14ac:dyDescent="0.3">
      <c r="A108" s="22"/>
      <c r="B108" s="5"/>
      <c r="C108" s="33"/>
      <c r="D108" s="33"/>
      <c r="E108" s="33"/>
      <c r="F108" s="33"/>
    </row>
    <row r="109" spans="1:6" ht="20.399999999999999" x14ac:dyDescent="0.3">
      <c r="A109" s="22"/>
      <c r="B109" s="5"/>
      <c r="C109" s="33"/>
      <c r="D109" s="33"/>
      <c r="E109" s="33"/>
      <c r="F109" s="33"/>
    </row>
    <row r="110" spans="1:6" ht="20.399999999999999" x14ac:dyDescent="0.3">
      <c r="A110" s="22"/>
      <c r="B110" s="5"/>
      <c r="C110" s="33"/>
      <c r="D110" s="33"/>
      <c r="E110" s="33"/>
      <c r="F110" s="33"/>
    </row>
    <row r="111" spans="1:6" ht="20.399999999999999" x14ac:dyDescent="0.3">
      <c r="A111" s="22"/>
      <c r="B111" s="5"/>
      <c r="C111" s="33"/>
      <c r="D111" s="33"/>
      <c r="E111" s="33"/>
      <c r="F111" s="33"/>
    </row>
    <row r="112" spans="1:6" ht="20.399999999999999" x14ac:dyDescent="0.3">
      <c r="A112" s="22"/>
      <c r="B112" s="5"/>
      <c r="C112" s="33"/>
      <c r="D112" s="33"/>
      <c r="E112" s="33"/>
      <c r="F112" s="33"/>
    </row>
    <row r="113" spans="1:6" ht="20.399999999999999" x14ac:dyDescent="0.3">
      <c r="A113" s="22"/>
      <c r="B113" s="5"/>
      <c r="C113" s="33"/>
      <c r="D113" s="33"/>
      <c r="E113" s="33"/>
      <c r="F113" s="33"/>
    </row>
    <row r="114" spans="1:6" ht="20.399999999999999" x14ac:dyDescent="0.3">
      <c r="A114" s="22"/>
      <c r="B114" s="5"/>
      <c r="C114" s="33"/>
      <c r="D114" s="33"/>
      <c r="E114" s="33"/>
      <c r="F114" s="33"/>
    </row>
    <row r="115" spans="1:6" ht="20.399999999999999" x14ac:dyDescent="0.3">
      <c r="A115" s="22"/>
      <c r="B115" s="5"/>
      <c r="C115" s="33"/>
      <c r="D115" s="33"/>
      <c r="E115" s="33"/>
      <c r="F115" s="33"/>
    </row>
    <row r="116" spans="1:6" ht="20.399999999999999" x14ac:dyDescent="0.3">
      <c r="A116" s="22"/>
      <c r="B116" s="5"/>
      <c r="C116" s="33"/>
      <c r="D116" s="33"/>
      <c r="E116" s="33"/>
      <c r="F116" s="33"/>
    </row>
    <row r="117" spans="1:6" ht="20.399999999999999" x14ac:dyDescent="0.3">
      <c r="A117" s="22"/>
      <c r="B117" s="5"/>
      <c r="C117" s="33"/>
      <c r="D117" s="33"/>
      <c r="E117" s="33"/>
      <c r="F117" s="33"/>
    </row>
    <row r="118" spans="1:6" ht="20.399999999999999" x14ac:dyDescent="0.3">
      <c r="A118" s="22"/>
      <c r="B118" s="5"/>
      <c r="C118" s="33"/>
      <c r="D118" s="33"/>
      <c r="E118" s="33"/>
      <c r="F118" s="33"/>
    </row>
    <row r="119" spans="1:6" ht="20.399999999999999" x14ac:dyDescent="0.3">
      <c r="A119" s="22"/>
      <c r="B119" s="5"/>
      <c r="C119" s="33"/>
      <c r="D119" s="33"/>
      <c r="E119" s="33"/>
      <c r="F119" s="33"/>
    </row>
    <row r="120" spans="1:6" ht="20.399999999999999" x14ac:dyDescent="0.3">
      <c r="A120" s="22"/>
      <c r="B120" s="5"/>
      <c r="C120" s="33"/>
      <c r="D120" s="33"/>
      <c r="E120" s="33"/>
      <c r="F120" s="33"/>
    </row>
    <row r="121" spans="1:6" ht="20.399999999999999" x14ac:dyDescent="0.3">
      <c r="A121" s="22"/>
      <c r="B121" s="5"/>
      <c r="C121" s="33"/>
      <c r="D121" s="33"/>
      <c r="E121" s="33"/>
      <c r="F121" s="33"/>
    </row>
    <row r="122" spans="1:6" ht="20.399999999999999" x14ac:dyDescent="0.3">
      <c r="A122" s="22"/>
      <c r="B122" s="5"/>
      <c r="C122" s="33"/>
      <c r="D122" s="33"/>
      <c r="E122" s="33"/>
      <c r="F122" s="33"/>
    </row>
    <row r="123" spans="1:6" ht="20.399999999999999" x14ac:dyDescent="0.3">
      <c r="A123" s="22"/>
      <c r="B123" s="5"/>
      <c r="C123" s="33"/>
      <c r="D123" s="33"/>
      <c r="E123" s="33"/>
      <c r="F123" s="33"/>
    </row>
    <row r="124" spans="1:6" ht="20.399999999999999" x14ac:dyDescent="0.3">
      <c r="A124" s="22"/>
      <c r="B124" s="5"/>
      <c r="C124" s="33"/>
      <c r="D124" s="33"/>
      <c r="E124" s="33"/>
      <c r="F124" s="33"/>
    </row>
    <row r="125" spans="1:6" ht="20.399999999999999" x14ac:dyDescent="0.3">
      <c r="A125" s="22"/>
      <c r="B125" s="5"/>
      <c r="C125" s="33"/>
      <c r="D125" s="33"/>
      <c r="E125" s="33"/>
      <c r="F125" s="33"/>
    </row>
    <row r="126" spans="1:6" ht="20.399999999999999" x14ac:dyDescent="0.3">
      <c r="A126" s="22"/>
      <c r="B126" s="5"/>
      <c r="C126" s="33"/>
      <c r="D126" s="33"/>
      <c r="E126" s="33"/>
      <c r="F126" s="33"/>
    </row>
    <row r="127" spans="1:6" ht="20.399999999999999" x14ac:dyDescent="0.3">
      <c r="A127" s="22"/>
      <c r="B127" s="5"/>
      <c r="C127" s="33"/>
      <c r="D127" s="33"/>
      <c r="E127" s="33"/>
      <c r="F127" s="33"/>
    </row>
    <row r="128" spans="1:6" ht="20.399999999999999" x14ac:dyDescent="0.3">
      <c r="A128" s="22"/>
      <c r="B128" s="5"/>
      <c r="C128" s="33"/>
      <c r="D128" s="33"/>
      <c r="E128" s="33"/>
      <c r="F128" s="33"/>
    </row>
    <row r="129" spans="1:6" ht="20.399999999999999" x14ac:dyDescent="0.3">
      <c r="A129" s="22"/>
      <c r="B129" s="5"/>
      <c r="C129" s="33"/>
      <c r="D129" s="33"/>
      <c r="E129" s="33"/>
      <c r="F129" s="33"/>
    </row>
    <row r="130" spans="1:6" ht="20.399999999999999" x14ac:dyDescent="0.3">
      <c r="A130" s="22"/>
      <c r="B130" s="5"/>
      <c r="C130" s="33"/>
      <c r="D130" s="33"/>
      <c r="E130" s="33"/>
      <c r="F130" s="33"/>
    </row>
    <row r="131" spans="1:6" ht="20.399999999999999" x14ac:dyDescent="0.3">
      <c r="A131" s="22"/>
      <c r="B131" s="5"/>
      <c r="C131" s="33"/>
      <c r="D131" s="33"/>
      <c r="E131" s="33"/>
      <c r="F131" s="33"/>
    </row>
    <row r="132" spans="1:6" ht="20.399999999999999" x14ac:dyDescent="0.3">
      <c r="A132" s="22"/>
      <c r="B132" s="5"/>
      <c r="C132" s="33"/>
      <c r="D132" s="33"/>
      <c r="E132" s="33"/>
      <c r="F132" s="33"/>
    </row>
    <row r="133" spans="1:6" ht="20.399999999999999" x14ac:dyDescent="0.3">
      <c r="A133" s="22"/>
      <c r="B133" s="5"/>
      <c r="C133" s="33"/>
      <c r="D133" s="33"/>
      <c r="E133" s="33"/>
      <c r="F133" s="33"/>
    </row>
    <row r="134" spans="1:6" ht="20.399999999999999" x14ac:dyDescent="0.3">
      <c r="A134" s="22"/>
      <c r="B134" s="5"/>
      <c r="C134" s="33"/>
      <c r="D134" s="33"/>
      <c r="E134" s="33"/>
      <c r="F134" s="33"/>
    </row>
    <row r="135" spans="1:6" ht="20.399999999999999" x14ac:dyDescent="0.3">
      <c r="A135" s="22"/>
      <c r="B135" s="5"/>
      <c r="C135" s="33"/>
      <c r="D135" s="33"/>
      <c r="E135" s="33"/>
      <c r="F135" s="33"/>
    </row>
    <row r="136" spans="1:6" ht="20.399999999999999" x14ac:dyDescent="0.3">
      <c r="A136" s="22"/>
      <c r="B136" s="5"/>
      <c r="C136" s="33"/>
      <c r="D136" s="33"/>
      <c r="E136" s="33"/>
      <c r="F136" s="33"/>
    </row>
    <row r="137" spans="1:6" ht="20.399999999999999" x14ac:dyDescent="0.3">
      <c r="A137" s="22"/>
      <c r="B137" s="5"/>
      <c r="C137" s="33"/>
      <c r="D137" s="33"/>
      <c r="E137" s="33"/>
      <c r="F137" s="33"/>
    </row>
    <row r="138" spans="1:6" ht="20.399999999999999" x14ac:dyDescent="0.3">
      <c r="A138" s="22"/>
      <c r="B138" s="5"/>
      <c r="C138" s="33"/>
      <c r="D138" s="33"/>
      <c r="E138" s="33"/>
      <c r="F138" s="33"/>
    </row>
    <row r="139" spans="1:6" ht="20.399999999999999" x14ac:dyDescent="0.3">
      <c r="A139" s="22"/>
      <c r="B139" s="5"/>
      <c r="C139" s="33"/>
      <c r="D139" s="33"/>
      <c r="E139" s="33"/>
      <c r="F139" s="33"/>
    </row>
    <row r="140" spans="1:6" ht="20.399999999999999" x14ac:dyDescent="0.3">
      <c r="A140" s="22"/>
      <c r="B140" s="5"/>
      <c r="C140" s="33"/>
      <c r="D140" s="33"/>
      <c r="E140" s="33"/>
      <c r="F140" s="33"/>
    </row>
    <row r="141" spans="1:6" ht="20.399999999999999" x14ac:dyDescent="0.3">
      <c r="A141" s="22"/>
      <c r="B141" s="5"/>
      <c r="C141" s="33"/>
      <c r="D141" s="33"/>
      <c r="E141" s="33"/>
      <c r="F141" s="33"/>
    </row>
    <row r="142" spans="1:6" ht="20.399999999999999" x14ac:dyDescent="0.3">
      <c r="A142" s="22"/>
      <c r="B142" s="5"/>
      <c r="C142" s="33"/>
      <c r="D142" s="33"/>
      <c r="E142" s="33"/>
      <c r="F142" s="33"/>
    </row>
    <row r="143" spans="1:6" ht="20.399999999999999" x14ac:dyDescent="0.3">
      <c r="A143" s="22"/>
      <c r="B143" s="5"/>
      <c r="C143" s="33"/>
      <c r="D143" s="33"/>
      <c r="E143" s="33"/>
      <c r="F143" s="33"/>
    </row>
    <row r="144" spans="1:6" ht="20.399999999999999" x14ac:dyDescent="0.3">
      <c r="A144" s="22"/>
      <c r="B144" s="5"/>
      <c r="C144" s="33"/>
      <c r="D144" s="33"/>
      <c r="E144" s="33"/>
      <c r="F144" s="33"/>
    </row>
    <row r="145" spans="1:6" ht="20.399999999999999" x14ac:dyDescent="0.3">
      <c r="A145" s="22"/>
      <c r="B145" s="5"/>
      <c r="C145" s="33"/>
      <c r="D145" s="33"/>
      <c r="E145" s="33"/>
      <c r="F145" s="33"/>
    </row>
    <row r="146" spans="1:6" ht="20.399999999999999" x14ac:dyDescent="0.3">
      <c r="A146" s="22"/>
      <c r="B146" s="5"/>
      <c r="C146" s="33"/>
      <c r="D146" s="33"/>
      <c r="E146" s="33"/>
      <c r="F146" s="33"/>
    </row>
    <row r="147" spans="1:6" ht="20.399999999999999" x14ac:dyDescent="0.3">
      <c r="A147" s="22"/>
      <c r="B147" s="5"/>
      <c r="C147" s="33"/>
      <c r="D147" s="33"/>
      <c r="E147" s="33"/>
      <c r="F147" s="33"/>
    </row>
    <row r="148" spans="1:6" ht="20.399999999999999" x14ac:dyDescent="0.3">
      <c r="A148" s="22"/>
      <c r="B148" s="5"/>
      <c r="C148" s="33"/>
      <c r="D148" s="33"/>
      <c r="E148" s="33"/>
      <c r="F148" s="33"/>
    </row>
    <row r="149" spans="1:6" ht="20.399999999999999" x14ac:dyDescent="0.3">
      <c r="A149" s="22"/>
      <c r="B149" s="5"/>
      <c r="C149" s="33"/>
      <c r="D149" s="33"/>
      <c r="E149" s="33"/>
      <c r="F149" s="33"/>
    </row>
    <row r="150" spans="1:6" ht="20.399999999999999" x14ac:dyDescent="0.3">
      <c r="A150" s="22"/>
      <c r="B150" s="5"/>
      <c r="C150" s="33"/>
      <c r="D150" s="33"/>
      <c r="E150" s="33"/>
      <c r="F150" s="33"/>
    </row>
    <row r="151" spans="1:6" ht="20.399999999999999" x14ac:dyDescent="0.3">
      <c r="A151" s="22"/>
      <c r="B151" s="5"/>
      <c r="C151" s="33"/>
      <c r="D151" s="33"/>
      <c r="E151" s="33"/>
      <c r="F151" s="33"/>
    </row>
    <row r="152" spans="1:6" ht="20.399999999999999" x14ac:dyDescent="0.3">
      <c r="A152" s="22"/>
      <c r="B152" s="5"/>
      <c r="C152" s="33"/>
      <c r="D152" s="33"/>
      <c r="E152" s="33"/>
      <c r="F152" s="33"/>
    </row>
    <row r="153" spans="1:6" ht="20.399999999999999" x14ac:dyDescent="0.3">
      <c r="A153" s="22"/>
      <c r="B153" s="5"/>
      <c r="C153" s="33"/>
      <c r="D153" s="33"/>
      <c r="E153" s="33"/>
      <c r="F153" s="33"/>
    </row>
    <row r="154" spans="1:6" ht="20.399999999999999" x14ac:dyDescent="0.3">
      <c r="A154" s="22"/>
      <c r="B154" s="5"/>
      <c r="C154" s="33"/>
      <c r="D154" s="33"/>
      <c r="E154" s="33"/>
      <c r="F154" s="33"/>
    </row>
    <row r="155" spans="1:6" ht="20.399999999999999" x14ac:dyDescent="0.3">
      <c r="A155" s="22"/>
      <c r="B155" s="5"/>
      <c r="C155" s="33"/>
      <c r="D155" s="33"/>
      <c r="E155" s="33"/>
      <c r="F155" s="33"/>
    </row>
    <row r="156" spans="1:6" ht="20.399999999999999" x14ac:dyDescent="0.3">
      <c r="A156" s="22"/>
      <c r="B156" s="5"/>
      <c r="C156" s="33"/>
      <c r="D156" s="33"/>
      <c r="E156" s="33"/>
      <c r="F156" s="33"/>
    </row>
    <row r="157" spans="1:6" ht="20.399999999999999" x14ac:dyDescent="0.3">
      <c r="A157" s="22"/>
      <c r="B157" s="5"/>
      <c r="C157" s="33"/>
      <c r="D157" s="33"/>
      <c r="E157" s="33"/>
      <c r="F157" s="33"/>
    </row>
    <row r="158" spans="1:6" ht="20.399999999999999" x14ac:dyDescent="0.3">
      <c r="A158" s="22"/>
      <c r="B158" s="5"/>
      <c r="C158" s="33"/>
      <c r="D158" s="33"/>
      <c r="E158" s="33"/>
      <c r="F158" s="33"/>
    </row>
    <row r="159" spans="1:6" ht="20.399999999999999" x14ac:dyDescent="0.3">
      <c r="A159" s="22"/>
      <c r="B159" s="5"/>
      <c r="C159" s="33"/>
      <c r="D159" s="33"/>
      <c r="E159" s="33"/>
      <c r="F159" s="33"/>
    </row>
    <row r="160" spans="1:6" ht="20.399999999999999" x14ac:dyDescent="0.3">
      <c r="A160" s="22"/>
      <c r="B160" s="5"/>
      <c r="C160" s="33"/>
      <c r="D160" s="33"/>
      <c r="E160" s="33"/>
      <c r="F160" s="33"/>
    </row>
    <row r="161" spans="1:6" ht="20.399999999999999" x14ac:dyDescent="0.3">
      <c r="A161" s="22"/>
      <c r="B161" s="5"/>
      <c r="C161" s="33"/>
      <c r="D161" s="33"/>
      <c r="E161" s="33"/>
      <c r="F161" s="33"/>
    </row>
    <row r="162" spans="1:6" ht="20.399999999999999" x14ac:dyDescent="0.3">
      <c r="A162" s="22"/>
      <c r="B162" s="5"/>
      <c r="C162" s="33"/>
      <c r="D162" s="33"/>
      <c r="E162" s="33"/>
      <c r="F162" s="33"/>
    </row>
    <row r="163" spans="1:6" ht="20.399999999999999" x14ac:dyDescent="0.3">
      <c r="A163" s="22"/>
      <c r="B163" s="5"/>
      <c r="C163" s="33"/>
      <c r="D163" s="33"/>
      <c r="E163" s="33"/>
      <c r="F163" s="33"/>
    </row>
    <row r="164" spans="1:6" ht="20.399999999999999" x14ac:dyDescent="0.3">
      <c r="A164" s="22"/>
      <c r="B164" s="5"/>
      <c r="C164" s="33"/>
      <c r="D164" s="33"/>
      <c r="E164" s="33"/>
      <c r="F164" s="33"/>
    </row>
    <row r="165" spans="1:6" ht="20.399999999999999" x14ac:dyDescent="0.3">
      <c r="A165" s="22"/>
      <c r="B165" s="5"/>
      <c r="C165" s="33"/>
      <c r="D165" s="33"/>
      <c r="E165" s="33"/>
      <c r="F165" s="33"/>
    </row>
    <row r="166" spans="1:6" ht="20.399999999999999" x14ac:dyDescent="0.3">
      <c r="A166" s="22"/>
      <c r="B166" s="5"/>
      <c r="C166" s="33"/>
      <c r="D166" s="33"/>
      <c r="E166" s="33"/>
      <c r="F166" s="33"/>
    </row>
    <row r="167" spans="1:6" ht="20.399999999999999" x14ac:dyDescent="0.3">
      <c r="A167" s="22"/>
      <c r="B167" s="5"/>
      <c r="C167" s="33"/>
      <c r="D167" s="33"/>
      <c r="E167" s="33"/>
      <c r="F167" s="33"/>
    </row>
    <row r="168" spans="1:6" ht="20.399999999999999" x14ac:dyDescent="0.3">
      <c r="A168" s="22"/>
      <c r="B168" s="5"/>
      <c r="C168" s="33"/>
      <c r="D168" s="33"/>
      <c r="E168" s="33"/>
      <c r="F168" s="33"/>
    </row>
    <row r="169" spans="1:6" ht="20.399999999999999" x14ac:dyDescent="0.3">
      <c r="A169" s="22"/>
      <c r="B169" s="5"/>
      <c r="C169" s="33"/>
      <c r="D169" s="33"/>
      <c r="E169" s="33"/>
      <c r="F169" s="33"/>
    </row>
    <row r="170" spans="1:6" ht="20.399999999999999" x14ac:dyDescent="0.3">
      <c r="A170" s="22"/>
      <c r="B170" s="5"/>
      <c r="C170" s="33"/>
      <c r="D170" s="33"/>
      <c r="E170" s="33"/>
      <c r="F170" s="33"/>
    </row>
    <row r="171" spans="1:6" ht="20.399999999999999" x14ac:dyDescent="0.3">
      <c r="A171" s="22"/>
      <c r="B171" s="5"/>
      <c r="C171" s="33"/>
      <c r="D171" s="33"/>
      <c r="E171" s="33"/>
      <c r="F171" s="33"/>
    </row>
    <row r="172" spans="1:6" ht="20.399999999999999" x14ac:dyDescent="0.3">
      <c r="A172" s="22"/>
      <c r="B172" s="5"/>
      <c r="C172" s="33"/>
      <c r="D172" s="33"/>
      <c r="E172" s="33"/>
      <c r="F172" s="33"/>
    </row>
    <row r="173" spans="1:6" ht="20.399999999999999" x14ac:dyDescent="0.3">
      <c r="A173" s="22"/>
      <c r="B173" s="5"/>
      <c r="C173" s="33"/>
      <c r="D173" s="33"/>
      <c r="E173" s="33"/>
      <c r="F173" s="33"/>
    </row>
    <row r="174" spans="1:6" ht="20.399999999999999" x14ac:dyDescent="0.3">
      <c r="A174" s="22"/>
      <c r="B174" s="5"/>
      <c r="C174" s="33"/>
      <c r="D174" s="33"/>
      <c r="E174" s="33"/>
      <c r="F174" s="33"/>
    </row>
    <row r="175" spans="1:6" ht="20.399999999999999" x14ac:dyDescent="0.3">
      <c r="A175" s="22"/>
      <c r="B175" s="5"/>
      <c r="C175" s="33"/>
      <c r="D175" s="33"/>
      <c r="E175" s="33"/>
      <c r="F175" s="33"/>
    </row>
    <row r="176" spans="1:6" x14ac:dyDescent="0.3">
      <c r="A176" s="8"/>
      <c r="B176" s="5"/>
      <c r="C176" s="5"/>
      <c r="D176" s="5"/>
      <c r="E176" s="5"/>
      <c r="F176" s="5"/>
    </row>
    <row r="177" spans="1:10" ht="20.399999999999999" x14ac:dyDescent="0.3">
      <c r="A177" s="8"/>
      <c r="B177" s="34" t="s">
        <v>535</v>
      </c>
      <c r="C177" s="34" t="s">
        <v>536</v>
      </c>
      <c r="D177" s="34"/>
      <c r="E177" s="34"/>
      <c r="F177" t="s">
        <v>535</v>
      </c>
      <c r="G177" t="s">
        <v>536</v>
      </c>
    </row>
    <row r="178" spans="1:10" ht="21" x14ac:dyDescent="0.4">
      <c r="A178" s="8"/>
      <c r="B178" s="35" t="s">
        <v>537</v>
      </c>
      <c r="C178" s="35" t="s">
        <v>538</v>
      </c>
      <c r="D178" s="35"/>
      <c r="E178" s="35"/>
      <c r="F178" t="s">
        <v>537</v>
      </c>
      <c r="H178" t="str">
        <f>IF(NOT(ISBLANK(F178)),F178,IF(NOT(ISBLANK(G178)),"     "&amp;G178,FALSE))</f>
        <v>Afectación Económica o presupuestal</v>
      </c>
      <c r="I178" t="s">
        <v>537</v>
      </c>
      <c r="J178" t="str">
        <f>IF(NOT(ISERROR(MATCH(I178,_xlfn.ANCHORARRAY(B189),0))),H191&amp;"Por favor no seleccionar los criterios de impacto",I178)</f>
        <v>❌Por favor no seleccionar los criterios de impacto</v>
      </c>
    </row>
    <row r="179" spans="1:10" ht="21" x14ac:dyDescent="0.4">
      <c r="A179" s="8"/>
      <c r="B179" s="35" t="s">
        <v>537</v>
      </c>
      <c r="C179" s="35" t="s">
        <v>539</v>
      </c>
      <c r="D179" s="35"/>
      <c r="E179" s="35"/>
      <c r="G179" t="s">
        <v>538</v>
      </c>
      <c r="H179" t="str">
        <f t="shared" ref="H179:H189" si="0">IF(NOT(ISBLANK(F179)),F179,IF(NOT(ISBLANK(G179)),"     "&amp;G179,FALSE))</f>
        <v xml:space="preserve">     Afectación menor a 10 SMLMV .</v>
      </c>
    </row>
    <row r="180" spans="1:10" ht="21" x14ac:dyDescent="0.4">
      <c r="A180" s="8"/>
      <c r="B180" s="35" t="s">
        <v>537</v>
      </c>
      <c r="C180" s="35" t="s">
        <v>540</v>
      </c>
      <c r="D180" s="35"/>
      <c r="E180" s="35"/>
      <c r="G180" t="s">
        <v>539</v>
      </c>
      <c r="H180" t="str">
        <f t="shared" si="0"/>
        <v xml:space="preserve">     Entre 10 y 50 SMLMV </v>
      </c>
    </row>
    <row r="181" spans="1:10" ht="21" x14ac:dyDescent="0.4">
      <c r="A181" s="8"/>
      <c r="B181" s="35" t="s">
        <v>537</v>
      </c>
      <c r="C181" s="35" t="s">
        <v>541</v>
      </c>
      <c r="D181" s="35"/>
      <c r="E181" s="35"/>
      <c r="G181" t="s">
        <v>540</v>
      </c>
      <c r="H181" t="str">
        <f t="shared" si="0"/>
        <v xml:space="preserve">     Entre 50 y 100 SMLMV </v>
      </c>
    </row>
    <row r="182" spans="1:10" ht="21" x14ac:dyDescent="0.4">
      <c r="A182" s="8"/>
      <c r="B182" s="35" t="s">
        <v>537</v>
      </c>
      <c r="C182" s="35" t="s">
        <v>542</v>
      </c>
      <c r="D182" s="35"/>
      <c r="E182" s="35"/>
      <c r="G182" t="s">
        <v>541</v>
      </c>
      <c r="H182" t="str">
        <f t="shared" si="0"/>
        <v xml:space="preserve">     Entre 100 y 500 SMLMV </v>
      </c>
    </row>
    <row r="183" spans="1:10" ht="21" x14ac:dyDescent="0.4">
      <c r="A183" s="8"/>
      <c r="B183" s="35" t="s">
        <v>543</v>
      </c>
      <c r="C183" s="35" t="s">
        <v>544</v>
      </c>
      <c r="D183" s="35"/>
      <c r="E183" s="35"/>
      <c r="G183" t="s">
        <v>542</v>
      </c>
      <c r="H183" t="str">
        <f t="shared" si="0"/>
        <v xml:space="preserve">     Mayor a 500 SMLMV </v>
      </c>
    </row>
    <row r="184" spans="1:10" ht="21" x14ac:dyDescent="0.4">
      <c r="A184" s="8"/>
      <c r="B184" s="35" t="s">
        <v>543</v>
      </c>
      <c r="C184" s="35" t="s">
        <v>545</v>
      </c>
      <c r="D184" s="35"/>
      <c r="E184" s="35"/>
      <c r="F184" t="s">
        <v>543</v>
      </c>
      <c r="H184" t="str">
        <f t="shared" si="0"/>
        <v>Pérdida Reputacional</v>
      </c>
    </row>
    <row r="185" spans="1:10" ht="21" x14ac:dyDescent="0.4">
      <c r="A185" s="8"/>
      <c r="B185" s="35" t="s">
        <v>543</v>
      </c>
      <c r="C185" s="35" t="s">
        <v>546</v>
      </c>
      <c r="D185" s="35"/>
      <c r="E185" s="35"/>
      <c r="G185" t="s">
        <v>544</v>
      </c>
      <c r="H185" t="str">
        <f t="shared" si="0"/>
        <v xml:space="preserve">     El riesgo afecta la imagen de alguna área de la organización</v>
      </c>
    </row>
    <row r="186" spans="1:10" ht="21" x14ac:dyDescent="0.4">
      <c r="A186" s="8"/>
      <c r="B186" s="35" t="s">
        <v>543</v>
      </c>
      <c r="C186" s="35" t="s">
        <v>547</v>
      </c>
      <c r="D186" s="35"/>
      <c r="E186" s="35"/>
      <c r="G186" t="s">
        <v>545</v>
      </c>
      <c r="H186" t="str">
        <f t="shared" si="0"/>
        <v xml:space="preserve">     El riesgo afecta la imagen de la entidad internamente, de conocimiento general, nivel interno, de junta dircetiva y accionistas y/o de provedores</v>
      </c>
    </row>
    <row r="187" spans="1:10" ht="21" x14ac:dyDescent="0.4">
      <c r="A187" s="8"/>
      <c r="B187" s="35" t="s">
        <v>543</v>
      </c>
      <c r="C187" s="35" t="s">
        <v>548</v>
      </c>
      <c r="D187" s="35"/>
      <c r="E187" s="35"/>
      <c r="G187" t="s">
        <v>546</v>
      </c>
      <c r="H187" t="str">
        <f t="shared" si="0"/>
        <v xml:space="preserve">     El riesgo afecta la imagen de la entidad con algunos usuarios de relevancia frente al logro de los objetivos</v>
      </c>
    </row>
    <row r="188" spans="1:10" x14ac:dyDescent="0.3">
      <c r="A188" s="8"/>
      <c r="B188" s="6"/>
      <c r="C188" s="6"/>
      <c r="D188" s="6"/>
      <c r="E188" s="6"/>
      <c r="G188" t="s">
        <v>547</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548</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549</v>
      </c>
    </row>
    <row r="192" spans="1:10" x14ac:dyDescent="0.3">
      <c r="B192" s="4"/>
      <c r="C192" s="4"/>
      <c r="D192" s="4"/>
      <c r="E192" s="4"/>
      <c r="H192" s="7" t="s">
        <v>550</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4:E4"/>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topLeftCell="A6" workbookViewId="0">
      <selection activeCell="E17" sqref="E17"/>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57" t="s">
        <v>551</v>
      </c>
      <c r="C1" s="458"/>
      <c r="D1" s="458"/>
      <c r="E1" s="458"/>
      <c r="F1" s="459"/>
    </row>
    <row r="2" spans="2:6" ht="16.2" thickBot="1" x14ac:dyDescent="0.35">
      <c r="B2" s="10"/>
      <c r="C2" s="10"/>
      <c r="D2" s="10"/>
      <c r="E2" s="10"/>
      <c r="F2" s="10"/>
    </row>
    <row r="3" spans="2:6" ht="16.2" thickBot="1" x14ac:dyDescent="0.35">
      <c r="B3" s="461" t="s">
        <v>552</v>
      </c>
      <c r="C3" s="462"/>
      <c r="D3" s="462"/>
      <c r="E3" s="36" t="s">
        <v>553</v>
      </c>
      <c r="F3" s="37" t="s">
        <v>554</v>
      </c>
    </row>
    <row r="4" spans="2:6" ht="31.2" x14ac:dyDescent="0.3">
      <c r="B4" s="463" t="s">
        <v>555</v>
      </c>
      <c r="C4" s="465" t="s">
        <v>126</v>
      </c>
      <c r="D4" s="11" t="s">
        <v>145</v>
      </c>
      <c r="E4" s="12" t="s">
        <v>556</v>
      </c>
      <c r="F4" s="13">
        <v>0.25</v>
      </c>
    </row>
    <row r="5" spans="2:6" ht="46.8" x14ac:dyDescent="0.3">
      <c r="B5" s="464"/>
      <c r="C5" s="466"/>
      <c r="D5" s="14" t="s">
        <v>154</v>
      </c>
      <c r="E5" s="15" t="s">
        <v>557</v>
      </c>
      <c r="F5" s="16">
        <v>0.15</v>
      </c>
    </row>
    <row r="6" spans="2:6" ht="46.8" x14ac:dyDescent="0.3">
      <c r="B6" s="464"/>
      <c r="C6" s="466"/>
      <c r="D6" s="14" t="s">
        <v>207</v>
      </c>
      <c r="E6" s="15" t="s">
        <v>558</v>
      </c>
      <c r="F6" s="16">
        <v>0.1</v>
      </c>
    </row>
    <row r="7" spans="2:6" ht="15.6" hidden="1" x14ac:dyDescent="0.3">
      <c r="B7" s="464"/>
      <c r="C7" s="14"/>
      <c r="D7" s="14" t="s">
        <v>219</v>
      </c>
      <c r="E7" s="15"/>
      <c r="F7" s="16"/>
    </row>
    <row r="8" spans="2:6" ht="62.4" x14ac:dyDescent="0.3">
      <c r="B8" s="464"/>
      <c r="C8" s="466" t="s">
        <v>127</v>
      </c>
      <c r="D8" s="14" t="s">
        <v>302</v>
      </c>
      <c r="E8" s="15" t="s">
        <v>559</v>
      </c>
      <c r="F8" s="16">
        <v>0.25</v>
      </c>
    </row>
    <row r="9" spans="2:6" ht="31.2" x14ac:dyDescent="0.3">
      <c r="B9" s="464"/>
      <c r="C9" s="466"/>
      <c r="D9" s="14" t="s">
        <v>146</v>
      </c>
      <c r="E9" s="15" t="s">
        <v>560</v>
      </c>
      <c r="F9" s="16">
        <v>0.15</v>
      </c>
    </row>
    <row r="10" spans="2:6" ht="15.6" hidden="1" x14ac:dyDescent="0.3">
      <c r="B10" s="30"/>
      <c r="C10" s="14"/>
      <c r="D10" s="14" t="s">
        <v>219</v>
      </c>
      <c r="E10" s="15"/>
      <c r="F10" s="16"/>
    </row>
    <row r="11" spans="2:6" ht="46.8" x14ac:dyDescent="0.3">
      <c r="B11" s="464" t="s">
        <v>561</v>
      </c>
      <c r="C11" s="466" t="s">
        <v>129</v>
      </c>
      <c r="D11" s="14" t="s">
        <v>155</v>
      </c>
      <c r="E11" s="15" t="s">
        <v>562</v>
      </c>
      <c r="F11" s="17" t="s">
        <v>563</v>
      </c>
    </row>
    <row r="12" spans="2:6" ht="46.8" x14ac:dyDescent="0.3">
      <c r="B12" s="464"/>
      <c r="C12" s="466"/>
      <c r="D12" s="14" t="s">
        <v>147</v>
      </c>
      <c r="E12" s="15" t="s">
        <v>564</v>
      </c>
      <c r="F12" s="17" t="s">
        <v>563</v>
      </c>
    </row>
    <row r="13" spans="2:6" ht="15.6" x14ac:dyDescent="0.3">
      <c r="B13" s="464"/>
      <c r="C13" s="14"/>
      <c r="D13" s="14" t="s">
        <v>219</v>
      </c>
      <c r="E13" s="15"/>
      <c r="F13" s="17"/>
    </row>
    <row r="14" spans="2:6" ht="46.8" x14ac:dyDescent="0.3">
      <c r="B14" s="464"/>
      <c r="C14" s="466" t="s">
        <v>130</v>
      </c>
      <c r="D14" s="14" t="s">
        <v>156</v>
      </c>
      <c r="E14" s="15" t="s">
        <v>565</v>
      </c>
      <c r="F14" s="17" t="s">
        <v>563</v>
      </c>
    </row>
    <row r="15" spans="2:6" ht="46.8" x14ac:dyDescent="0.3">
      <c r="B15" s="464"/>
      <c r="C15" s="466"/>
      <c r="D15" s="14" t="s">
        <v>148</v>
      </c>
      <c r="E15" s="15" t="s">
        <v>566</v>
      </c>
      <c r="F15" s="17" t="s">
        <v>563</v>
      </c>
    </row>
    <row r="16" spans="2:6" ht="15.6" hidden="1" x14ac:dyDescent="0.3">
      <c r="B16" s="464"/>
      <c r="C16" s="14"/>
      <c r="D16" s="14" t="s">
        <v>219</v>
      </c>
      <c r="E16" s="15"/>
      <c r="F16" s="17"/>
    </row>
    <row r="17" spans="2:6" ht="31.2" x14ac:dyDescent="0.3">
      <c r="B17" s="464"/>
      <c r="C17" s="466" t="s">
        <v>131</v>
      </c>
      <c r="D17" s="14" t="s">
        <v>149</v>
      </c>
      <c r="E17" s="15" t="s">
        <v>567</v>
      </c>
      <c r="F17" s="17" t="s">
        <v>563</v>
      </c>
    </row>
    <row r="18" spans="2:6" ht="16.2" thickBot="1" x14ac:dyDescent="0.35">
      <c r="B18" s="467"/>
      <c r="C18" s="468"/>
      <c r="D18" s="18" t="s">
        <v>273</v>
      </c>
      <c r="E18" s="19" t="s">
        <v>568</v>
      </c>
      <c r="F18" s="20" t="s">
        <v>563</v>
      </c>
    </row>
    <row r="19" spans="2:6" ht="15.6" hidden="1" x14ac:dyDescent="0.3">
      <c r="B19" s="46"/>
      <c r="C19" s="46"/>
      <c r="D19" s="14" t="s">
        <v>219</v>
      </c>
      <c r="E19" s="47"/>
      <c r="F19" s="48"/>
    </row>
    <row r="20" spans="2:6" ht="49.95" customHeight="1" x14ac:dyDescent="0.3">
      <c r="B20" s="460" t="s">
        <v>569</v>
      </c>
      <c r="C20" s="460"/>
      <c r="D20" s="460"/>
      <c r="E20" s="460"/>
      <c r="F20" s="460"/>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B12" sqref="B12:B17"/>
    </sheetView>
  </sheetViews>
  <sheetFormatPr baseColWidth="10" defaultColWidth="11.44140625" defaultRowHeight="14.4" x14ac:dyDescent="0.3"/>
  <cols>
    <col min="2" max="2" width="24" customWidth="1"/>
    <col min="3" max="3" width="23.44140625" customWidth="1"/>
    <col min="4" max="4" width="24.33203125" customWidth="1"/>
    <col min="5" max="6" width="16.6640625" customWidth="1"/>
  </cols>
  <sheetData>
    <row r="2" spans="2:6" x14ac:dyDescent="0.3">
      <c r="B2" t="s">
        <v>570</v>
      </c>
      <c r="E2" t="s">
        <v>571</v>
      </c>
    </row>
    <row r="3" spans="2:6" x14ac:dyDescent="0.3">
      <c r="B3" t="s">
        <v>572</v>
      </c>
      <c r="E3" t="s">
        <v>522</v>
      </c>
    </row>
    <row r="4" spans="2:6" x14ac:dyDescent="0.3">
      <c r="B4" t="s">
        <v>427</v>
      </c>
      <c r="E4" t="s">
        <v>573</v>
      </c>
    </row>
    <row r="5" spans="2:6" x14ac:dyDescent="0.3">
      <c r="B5" t="s">
        <v>151</v>
      </c>
    </row>
    <row r="8" spans="2:6" x14ac:dyDescent="0.3">
      <c r="B8" t="s">
        <v>574</v>
      </c>
      <c r="E8" t="s">
        <v>111</v>
      </c>
      <c r="F8" t="s">
        <v>575</v>
      </c>
    </row>
    <row r="9" spans="2:6" x14ac:dyDescent="0.3">
      <c r="B9" t="s">
        <v>576</v>
      </c>
      <c r="E9" t="s">
        <v>319</v>
      </c>
      <c r="F9" t="s">
        <v>523</v>
      </c>
    </row>
    <row r="10" spans="2:6" x14ac:dyDescent="0.3">
      <c r="B10" t="s">
        <v>577</v>
      </c>
      <c r="E10" t="s">
        <v>239</v>
      </c>
      <c r="F10" t="s">
        <v>526</v>
      </c>
    </row>
    <row r="11" spans="2:6" x14ac:dyDescent="0.3">
      <c r="E11" t="s">
        <v>192</v>
      </c>
      <c r="F11" t="s">
        <v>193</v>
      </c>
    </row>
    <row r="12" spans="2:6" x14ac:dyDescent="0.3">
      <c r="B12" s="116" t="s">
        <v>578</v>
      </c>
      <c r="E12" t="s">
        <v>142</v>
      </c>
      <c r="F12" t="s">
        <v>143</v>
      </c>
    </row>
    <row r="13" spans="2:6" x14ac:dyDescent="0.3">
      <c r="B13" s="117" t="s">
        <v>141</v>
      </c>
      <c r="E13" t="s">
        <v>217</v>
      </c>
      <c r="F13" t="s">
        <v>240</v>
      </c>
    </row>
    <row r="14" spans="2:6" x14ac:dyDescent="0.3">
      <c r="B14" s="117" t="s">
        <v>579</v>
      </c>
    </row>
    <row r="15" spans="2:6" x14ac:dyDescent="0.3">
      <c r="B15" s="117" t="s">
        <v>580</v>
      </c>
    </row>
    <row r="16" spans="2:6" ht="26.4" x14ac:dyDescent="0.3">
      <c r="B16" s="117" t="s">
        <v>581</v>
      </c>
    </row>
    <row r="17" spans="2:2" ht="26.4" x14ac:dyDescent="0.3">
      <c r="B17" s="117" t="s">
        <v>582</v>
      </c>
    </row>
    <row r="18" spans="2:2" x14ac:dyDescent="0.3">
      <c r="B18" s="27"/>
    </row>
    <row r="19" spans="2:2" x14ac:dyDescent="0.3">
      <c r="B19" s="27"/>
    </row>
    <row r="20" spans="2:2" x14ac:dyDescent="0.3">
      <c r="B20" s="27"/>
    </row>
    <row r="21" spans="2:2" x14ac:dyDescent="0.3">
      <c r="B21" s="27" t="s">
        <v>583</v>
      </c>
    </row>
    <row r="22" spans="2:2" x14ac:dyDescent="0.3">
      <c r="B22" t="s">
        <v>7</v>
      </c>
    </row>
    <row r="23" spans="2:2" x14ac:dyDescent="0.3">
      <c r="B23" t="s">
        <v>584</v>
      </c>
    </row>
    <row r="24" spans="2:2" x14ac:dyDescent="0.3">
      <c r="B24" t="s">
        <v>585</v>
      </c>
    </row>
    <row r="25" spans="2:2" x14ac:dyDescent="0.3">
      <c r="B25" t="s">
        <v>586</v>
      </c>
    </row>
    <row r="26" spans="2:2" x14ac:dyDescent="0.3">
      <c r="B26" t="s">
        <v>587</v>
      </c>
    </row>
    <row r="27" spans="2:2" x14ac:dyDescent="0.3">
      <c r="B27" t="s">
        <v>588</v>
      </c>
    </row>
    <row r="28" spans="2:2" x14ac:dyDescent="0.3">
      <c r="B28" t="s">
        <v>589</v>
      </c>
    </row>
    <row r="29" spans="2:2" x14ac:dyDescent="0.3">
      <c r="B29" t="s">
        <v>590</v>
      </c>
    </row>
    <row r="30" spans="2:2" x14ac:dyDescent="0.3">
      <c r="B30" t="s">
        <v>591</v>
      </c>
    </row>
    <row r="31" spans="2:2" x14ac:dyDescent="0.3">
      <c r="B31" t="s">
        <v>592</v>
      </c>
    </row>
    <row r="32" spans="2:2" x14ac:dyDescent="0.3">
      <c r="B32" t="s">
        <v>593</v>
      </c>
    </row>
    <row r="33" spans="2:2" x14ac:dyDescent="0.3">
      <c r="B33" t="s">
        <v>594</v>
      </c>
    </row>
    <row r="34" spans="2:2" x14ac:dyDescent="0.3">
      <c r="B34" t="s">
        <v>595</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6640625" style="1" customWidth="1"/>
    <col min="2" max="16384" width="11.44140625" style="1"/>
  </cols>
  <sheetData>
    <row r="3" spans="1:1" x14ac:dyDescent="0.3">
      <c r="A3" s="2" t="s">
        <v>145</v>
      </c>
    </row>
    <row r="4" spans="1:1" x14ac:dyDescent="0.3">
      <c r="A4" s="2" t="s">
        <v>154</v>
      </c>
    </row>
    <row r="5" spans="1:1" x14ac:dyDescent="0.3">
      <c r="A5" s="2" t="s">
        <v>207</v>
      </c>
    </row>
    <row r="6" spans="1:1" x14ac:dyDescent="0.3">
      <c r="A6" s="2" t="s">
        <v>302</v>
      </c>
    </row>
    <row r="7" spans="1:1" x14ac:dyDescent="0.3">
      <c r="A7" s="2" t="s">
        <v>146</v>
      </c>
    </row>
    <row r="8" spans="1:1" x14ac:dyDescent="0.3">
      <c r="A8" s="2" t="s">
        <v>155</v>
      </c>
    </row>
    <row r="9" spans="1:1" x14ac:dyDescent="0.3">
      <c r="A9" s="2" t="s">
        <v>147</v>
      </c>
    </row>
    <row r="10" spans="1:1" x14ac:dyDescent="0.3">
      <c r="A10" s="2" t="s">
        <v>156</v>
      </c>
    </row>
    <row r="11" spans="1:1" x14ac:dyDescent="0.3">
      <c r="A11" s="2" t="s">
        <v>148</v>
      </c>
    </row>
    <row r="12" spans="1:1" x14ac:dyDescent="0.3">
      <c r="A12" s="2" t="s">
        <v>596</v>
      </c>
    </row>
    <row r="13" spans="1:1" x14ac:dyDescent="0.3">
      <c r="A13" s="2" t="s">
        <v>597</v>
      </c>
    </row>
    <row r="14" spans="1:1" x14ac:dyDescent="0.3">
      <c r="A14" s="2" t="s">
        <v>598</v>
      </c>
    </row>
    <row r="16" spans="1:1" x14ac:dyDescent="0.3">
      <c r="A16" s="2" t="s">
        <v>599</v>
      </c>
    </row>
    <row r="17" spans="1:1" x14ac:dyDescent="0.3">
      <c r="A17" s="2" t="s">
        <v>570</v>
      </c>
    </row>
    <row r="18" spans="1:1" x14ac:dyDescent="0.3">
      <c r="A18" s="2" t="s">
        <v>572</v>
      </c>
    </row>
    <row r="20" spans="1:1" x14ac:dyDescent="0.3">
      <c r="A20" s="2" t="s">
        <v>576</v>
      </c>
    </row>
    <row r="21" spans="1:1" x14ac:dyDescent="0.3">
      <c r="A21" s="2" t="s">
        <v>577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7F3146-E168-47F4-A292-A1B1EFDB2A35}">
  <ds:schemaRefs>
    <ds:schemaRef ds:uri="http://schemas.microsoft.com/sharepoint/v3/contenttype/forms"/>
  </ds:schemaRefs>
</ds:datastoreItem>
</file>

<file path=customXml/itemProps2.xml><?xml version="1.0" encoding="utf-8"?>
<ds:datastoreItem xmlns:ds="http://schemas.openxmlformats.org/officeDocument/2006/customXml" ds:itemID="{5B4093C8-7951-48E3-8FFB-D4DD7419DFC7}">
  <ds:schemaRefs>
    <ds:schemaRef ds:uri="http://purl.org/dc/dcmitype/"/>
    <ds:schemaRef ds:uri="http://schemas.openxmlformats.org/package/2006/metadata/core-properties"/>
    <ds:schemaRef ds:uri="http://schemas.microsoft.com/office/2006/metadata/properties"/>
    <ds:schemaRef ds:uri="http://purl.org/dc/elements/1.1/"/>
    <ds:schemaRef ds:uri="http://purl.org/dc/terms/"/>
    <ds:schemaRef ds:uri="http://www.w3.org/XML/1998/namespace"/>
    <ds:schemaRef ds:uri="http://schemas.microsoft.com/office/2006/documentManagement/types"/>
    <ds:schemaRef ds:uri="cfb0170c-0804-4841-b063-354b1495d77f"/>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B308DD1F-45D5-49C1-BE65-3A1B1D893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